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my\Documents\SFF\Z Budget\"/>
    </mc:Choice>
  </mc:AlternateContent>
  <xr:revisionPtr revIDLastSave="0" documentId="13_ncr:1_{FF65A71C-43CD-4DDC-8E6A-3BD75D09E28C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Under arbete" sheetId="4" r:id="rId1"/>
    <sheet name="Beräkning" sheetId="5" r:id="rId2"/>
    <sheet name="Beräkningar" sheetId="9" r:id="rId3"/>
  </sheets>
  <definedNames>
    <definedName name="GARAGE" localSheetId="2">#REF!</definedName>
    <definedName name="GARAGE" localSheetId="0">'Under arbete'!#REF!</definedName>
    <definedName name="GARAGE">#REF!</definedName>
    <definedName name="Garage2">#REF!</definedName>
    <definedName name="LÄCKA" localSheetId="2">#REF!</definedName>
    <definedName name="LÄCKA" localSheetId="0">'Under arbete'!#REF!</definedName>
    <definedName name="LÄCKA">#REF!</definedName>
    <definedName name="_xlnm.Print_Area" localSheetId="0">'Under arbete'!$A$1:$H$97</definedName>
    <definedName name="VENTILATION" localSheetId="2">#REF!</definedName>
    <definedName name="VENTILATION" localSheetId="0">'Under arbete'!#REF!</definedName>
    <definedName name="VENTILATION">#REF!</definedName>
    <definedName name="VÄGUNDERHÅLL" localSheetId="2">#REF!</definedName>
    <definedName name="VÄGUNDERHÅLL" localSheetId="0">'Under arbete'!#REF!</definedName>
    <definedName name="VÄGUNDERHÅLL">#REF!</definedName>
  </definedNames>
  <calcPr calcId="181029"/>
  <customWorkbookViews>
    <customWorkbookView name="Standard - Personlig vy" guid="{EBF352AC-707A-461A-AB90-84323279908E}" mergeInterval="0" personalView="1" maximized="1" windowWidth="1020" windowHeight="57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4" l="1"/>
  <c r="E55" i="4"/>
  <c r="H28" i="4" l="1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7" i="4"/>
  <c r="H59" i="4"/>
  <c r="H60" i="4"/>
  <c r="H61" i="4"/>
  <c r="H62" i="4"/>
  <c r="H63" i="4"/>
  <c r="H64" i="4"/>
  <c r="H65" i="4"/>
  <c r="H66" i="4"/>
  <c r="H67" i="4"/>
  <c r="H69" i="4"/>
  <c r="H70" i="4"/>
  <c r="H71" i="4"/>
  <c r="H72" i="4"/>
  <c r="H73" i="4"/>
  <c r="H74" i="4"/>
  <c r="H75" i="4"/>
  <c r="H76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3" i="4"/>
  <c r="D77" i="4" l="1"/>
  <c r="F80" i="4"/>
  <c r="E79" i="4"/>
  <c r="D66" i="4" l="1"/>
  <c r="D11" i="9" l="1"/>
  <c r="E11" i="9"/>
  <c r="C11" i="9"/>
  <c r="G32" i="9" l="1"/>
  <c r="G34" i="9" s="1"/>
  <c r="F32" i="9"/>
  <c r="H32" i="9" s="1"/>
  <c r="H34" i="9" s="1"/>
  <c r="K30" i="9"/>
  <c r="K29" i="9"/>
  <c r="D68" i="4"/>
  <c r="C26" i="9"/>
  <c r="D32" i="9" l="1"/>
  <c r="C28" i="9" l="1"/>
  <c r="D31" i="9" s="1"/>
  <c r="E32" i="9" s="1"/>
  <c r="G78" i="4" l="1"/>
  <c r="G56" i="4"/>
  <c r="G79" i="4"/>
  <c r="G68" i="4"/>
  <c r="G58" i="4" l="1"/>
  <c r="D94" i="4"/>
  <c r="D95" i="4"/>
  <c r="D96" i="4" l="1"/>
  <c r="D97" i="4" s="1"/>
  <c r="D22" i="9" l="1"/>
  <c r="C22" i="9"/>
  <c r="D56" i="4"/>
  <c r="D58" i="4" s="1"/>
  <c r="D79" i="4"/>
  <c r="D12" i="9"/>
  <c r="D20" i="9"/>
  <c r="E129" i="9"/>
  <c r="G120" i="9"/>
  <c r="G92" i="9"/>
  <c r="F92" i="9"/>
  <c r="E92" i="9"/>
  <c r="D92" i="9"/>
  <c r="G85" i="9"/>
  <c r="G87" i="9"/>
  <c r="G91" i="9"/>
  <c r="F85" i="9"/>
  <c r="F87" i="9" s="1"/>
  <c r="F91" i="9" s="1"/>
  <c r="E85" i="9"/>
  <c r="E87" i="9"/>
  <c r="E91" i="9" s="1"/>
  <c r="D85" i="9"/>
  <c r="D87" i="9"/>
  <c r="D91" i="9"/>
  <c r="G79" i="9"/>
  <c r="F79" i="9"/>
  <c r="E79" i="9"/>
  <c r="G48" i="9"/>
  <c r="G47" i="9"/>
  <c r="G46" i="9"/>
  <c r="G45" i="9"/>
  <c r="G44" i="9"/>
  <c r="G43" i="9"/>
  <c r="G41" i="9"/>
  <c r="G40" i="9"/>
  <c r="G50" i="9"/>
  <c r="H50" i="9" s="1"/>
  <c r="H29" i="9"/>
  <c r="H22" i="9"/>
  <c r="G22" i="9"/>
  <c r="F22" i="9"/>
  <c r="E22" i="9"/>
  <c r="F16" i="9"/>
  <c r="F15" i="9"/>
  <c r="E56" i="4"/>
  <c r="H56" i="4" s="1"/>
  <c r="G102" i="4"/>
  <c r="G103" i="4"/>
  <c r="G104" i="4"/>
  <c r="G105" i="4"/>
  <c r="G106" i="4"/>
  <c r="G107" i="4"/>
  <c r="G108" i="4"/>
  <c r="G109" i="4"/>
  <c r="G110" i="4"/>
  <c r="G111" i="4"/>
  <c r="G112" i="4"/>
  <c r="G113" i="4"/>
  <c r="H105" i="4" s="1"/>
  <c r="C13" i="5"/>
  <c r="E68" i="4"/>
  <c r="H68" i="4" s="1"/>
  <c r="C114" i="4"/>
  <c r="C116" i="4" s="1"/>
  <c r="D80" i="4" l="1"/>
  <c r="H104" i="4"/>
  <c r="D90" i="4"/>
  <c r="I22" i="9"/>
  <c r="D30" i="9" s="1"/>
  <c r="H111" i="4"/>
  <c r="E58" i="4"/>
  <c r="H58" i="4" s="1"/>
  <c r="H108" i="4"/>
  <c r="H109" i="4"/>
  <c r="H110" i="4"/>
  <c r="H113" i="4"/>
  <c r="H107" i="4"/>
  <c r="H112" i="4"/>
  <c r="H102" i="4"/>
  <c r="H106" i="4"/>
  <c r="H103" i="4"/>
  <c r="F116" i="4"/>
  <c r="D116" i="4" l="1"/>
  <c r="D87" i="4"/>
</calcChain>
</file>

<file path=xl/sharedStrings.xml><?xml version="1.0" encoding="utf-8"?>
<sst xmlns="http://schemas.openxmlformats.org/spreadsheetml/2006/main" count="229" uniqueCount="211">
  <si>
    <t>Dat för korriger.</t>
  </si>
  <si>
    <t>Konto</t>
  </si>
  <si>
    <t>Kommentar</t>
  </si>
  <si>
    <t>Budget 2019</t>
  </si>
  <si>
    <t>Diff bud-utf 2019</t>
  </si>
  <si>
    <t>Värme 1, fast avgift</t>
  </si>
  <si>
    <t>Värme 2, rörlig avgift</t>
  </si>
  <si>
    <t>Vatten</t>
  </si>
  <si>
    <t xml:space="preserve"> </t>
  </si>
  <si>
    <t>El</t>
  </si>
  <si>
    <t>Park</t>
  </si>
  <si>
    <t>Skötselavtal</t>
  </si>
  <si>
    <t>Lekredskap</t>
  </si>
  <si>
    <t>Skötselområden</t>
  </si>
  <si>
    <t>Bevakningskostnader</t>
  </si>
  <si>
    <t>El-ledning</t>
  </si>
  <si>
    <t>Värme-ledning</t>
  </si>
  <si>
    <t>Läcka fr fonderat</t>
  </si>
  <si>
    <t>Vatten-ledning</t>
  </si>
  <si>
    <t>Ventilation</t>
  </si>
  <si>
    <t>Fibernät rep, underhåll</t>
  </si>
  <si>
    <t>Avlopp</t>
  </si>
  <si>
    <t>Slamsugning</t>
  </si>
  <si>
    <t>Vägunderhåll, övrigt</t>
  </si>
  <si>
    <t>Garage</t>
  </si>
  <si>
    <t>Kvartersstugor</t>
  </si>
  <si>
    <t>Fasader och tak</t>
  </si>
  <si>
    <t>Belysning</t>
  </si>
  <si>
    <t>Förråd, undercentraler</t>
  </si>
  <si>
    <t>UH-plan takrenovering</t>
  </si>
  <si>
    <t>UH-plan takrengöring</t>
  </si>
  <si>
    <t>UH-plan lekredskap</t>
  </si>
  <si>
    <t>UH-plan fasader</t>
  </si>
  <si>
    <t>UH-plan kvartersstuga</t>
  </si>
  <si>
    <t>UH-plan vattenmätare</t>
  </si>
  <si>
    <t>UH-plan vattenläckor</t>
  </si>
  <si>
    <t>UH-plan belysning</t>
  </si>
  <si>
    <t>UH-plan fiberinstallation</t>
  </si>
  <si>
    <t>UH-plan vägar</t>
  </si>
  <si>
    <t>UH-plan bommar</t>
  </si>
  <si>
    <t>Fastighetsförsäkringar</t>
  </si>
  <si>
    <t>Förbrukningsinventarier</t>
  </si>
  <si>
    <t>Programvaror</t>
  </si>
  <si>
    <t>Förbrukningsmaterial</t>
  </si>
  <si>
    <t>Kontorsmateriel</t>
  </si>
  <si>
    <t>Telekommunikation</t>
  </si>
  <si>
    <t>Förluster på kundfordringar</t>
  </si>
  <si>
    <t>Avläsning vatten</t>
  </si>
  <si>
    <t>Redovisningstjänster</t>
  </si>
  <si>
    <t>IT-tjänster</t>
  </si>
  <si>
    <t>Bankkostnader</t>
  </si>
  <si>
    <t>Styrelse- och stämmokostnader</t>
  </si>
  <si>
    <t>Övriga externa kostnader</t>
  </si>
  <si>
    <t>Löner</t>
  </si>
  <si>
    <t>Arvode</t>
  </si>
  <si>
    <t>Arbetsgivaravgifter</t>
  </si>
  <si>
    <t>Övriga personalkostnader</t>
  </si>
  <si>
    <t>Dröjsmålsräntor</t>
  </si>
  <si>
    <t xml:space="preserve">Avsättning underh.fond </t>
  </si>
  <si>
    <t>Ränteintäkter från oms.tillgångar</t>
  </si>
  <si>
    <t>Ränteintäkter fr kortfrist. fordr.</t>
  </si>
  <si>
    <t>Värdering till verkl. värde omst.tillg.</t>
  </si>
  <si>
    <t>Utdelningar på kortfristiga plac.</t>
  </si>
  <si>
    <t>Res.  försäljning av kortfr. plac.</t>
  </si>
  <si>
    <t>Utnyttja underh.fond</t>
  </si>
  <si>
    <t xml:space="preserve">Varmvatten </t>
  </si>
  <si>
    <t>Kallvatten</t>
  </si>
  <si>
    <t>Korttidshyra kv.stuga</t>
  </si>
  <si>
    <t>Långtidshyra kv.stuga</t>
  </si>
  <si>
    <t>Fiber kick-back</t>
  </si>
  <si>
    <t>Parkeringsavgifter</t>
  </si>
  <si>
    <t xml:space="preserve">Prel. Debiterad avgift </t>
  </si>
  <si>
    <t>Avgift. Övrig tid se nedan</t>
  </si>
  <si>
    <t>Summa intäkter</t>
  </si>
  <si>
    <t>Intäkter ./.  kostnader</t>
  </si>
  <si>
    <t>Att fördela rest.mån.</t>
  </si>
  <si>
    <t>DEBITERINGSBERÄKNING</t>
  </si>
  <si>
    <t>Prel. deb. avgift:</t>
  </si>
  <si>
    <t>Antal mån prel. deb. avg. :</t>
  </si>
  <si>
    <t>Antal övr deb.mån:</t>
  </si>
  <si>
    <t>Beräknad avgift:</t>
  </si>
  <si>
    <t>Avgiftsförslag övr tid:</t>
  </si>
  <si>
    <t>Övriga utgifter :</t>
  </si>
  <si>
    <t>(Utjämningspost)</t>
  </si>
  <si>
    <t>DEBITERINGSUPPGIFTER</t>
  </si>
  <si>
    <t xml:space="preserve">Prel deb </t>
  </si>
  <si>
    <t>Övrig tid</t>
  </si>
  <si>
    <t>Summa</t>
  </si>
  <si>
    <t>Totalt att uttaxera</t>
  </si>
  <si>
    <t>Debiteringsplan</t>
  </si>
  <si>
    <t>Kontrollkolumner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</si>
  <si>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</si>
  <si>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</si>
  <si>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</si>
  <si>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</si>
  <si>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</si>
  <si>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</si>
  <si>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</si>
  <si>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</si>
  <si>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</si>
  <si>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</si>
  <si>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</si>
  <si>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</si>
  <si>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Kontr budg</t>
  </si>
  <si>
    <t>Kontr månad</t>
  </si>
  <si>
    <t>Årets samf.avgift</t>
  </si>
  <si>
    <t>Extra debitering</t>
  </si>
  <si>
    <t>extra deb</t>
  </si>
  <si>
    <t>Arvoden</t>
  </si>
  <si>
    <t>Enligt stat. Fr. medlingsinstitutet</t>
  </si>
  <si>
    <t>AKI tjänstemän privat sektor</t>
  </si>
  <si>
    <r>
      <rPr>
        <b/>
        <sz val="10"/>
        <rFont val="Verdana"/>
        <family val="2"/>
      </rPr>
      <t xml:space="preserve">Tjänstemän privat sektor. </t>
    </r>
    <r>
      <rPr>
        <sz val="10"/>
        <rFont val="Verdana"/>
        <family val="2"/>
      </rPr>
      <t>Månadslön inklusive rörliga tillägg</t>
    </r>
  </si>
  <si>
    <t>Procentuell förändring från motsvarande månad föregående år</t>
  </si>
  <si>
    <t>SNI 2007</t>
  </si>
  <si>
    <t>Budget arvode föregående år</t>
  </si>
  <si>
    <t xml:space="preserve">Genomsnittlig löneökningstakt jan-okt 2019 tjänstemän medlingsinstitutet </t>
  </si>
  <si>
    <t>Beräknat arvode nästa budget</t>
  </si>
  <si>
    <t>Beräkningar</t>
  </si>
  <si>
    <t>Ändrade</t>
  </si>
  <si>
    <t>UC</t>
  </si>
  <si>
    <t>Fast</t>
  </si>
  <si>
    <t>Effekt</t>
  </si>
  <si>
    <t>Kw</t>
  </si>
  <si>
    <t>á kr/år</t>
  </si>
  <si>
    <t>Summa konto 4010</t>
  </si>
  <si>
    <t>Energi</t>
  </si>
  <si>
    <t>Mwh</t>
  </si>
  <si>
    <t>á-pris vinter</t>
  </si>
  <si>
    <t>(sommarpris anges inte)</t>
  </si>
  <si>
    <t>Summa konto 4011</t>
  </si>
  <si>
    <t>Mätare</t>
  </si>
  <si>
    <t>Fast avgift</t>
  </si>
  <si>
    <t>Ber.årsförbr</t>
  </si>
  <si>
    <t>Dagvatten</t>
  </si>
  <si>
    <t>Kvm</t>
  </si>
  <si>
    <t>Pris</t>
  </si>
  <si>
    <t>Årsk.enl fakt</t>
  </si>
  <si>
    <t>Kbm-pris</t>
  </si>
  <si>
    <t>Summa konto 4020</t>
  </si>
  <si>
    <t>Kabel-TV</t>
  </si>
  <si>
    <t>Antal läg</t>
  </si>
  <si>
    <t>Antal mån</t>
  </si>
  <si>
    <t>Beräkningsperiod</t>
  </si>
  <si>
    <t>Årskostnad netto</t>
  </si>
  <si>
    <t>Avgift</t>
  </si>
  <si>
    <t>Per hushåll o mån</t>
  </si>
  <si>
    <t>Jouravgift</t>
  </si>
  <si>
    <t>Årsavgifter</t>
  </si>
  <si>
    <t>Eurosport</t>
  </si>
  <si>
    <t>per månad</t>
  </si>
  <si>
    <t>TV3</t>
  </si>
  <si>
    <t>Per år</t>
  </si>
  <si>
    <t>TV4+</t>
  </si>
  <si>
    <t>TV4 Film</t>
  </si>
  <si>
    <t>Kanal 5</t>
  </si>
  <si>
    <t>Cartoon</t>
  </si>
  <si>
    <t>Summa inkl moms</t>
  </si>
  <si>
    <t>(kvartalsavg)</t>
  </si>
  <si>
    <t>Konto 2920 Reparationsfond</t>
  </si>
  <si>
    <t>Avs 2008</t>
  </si>
  <si>
    <t>Indextid</t>
  </si>
  <si>
    <t>Indextal</t>
  </si>
  <si>
    <t>Grundvärde</t>
  </si>
  <si>
    <t>Riktvärde</t>
  </si>
  <si>
    <t>Aktuellt värde</t>
  </si>
  <si>
    <t>Beräkningsmodell</t>
  </si>
  <si>
    <t>Ej över</t>
  </si>
  <si>
    <t>däröver</t>
  </si>
  <si>
    <t>Differens</t>
  </si>
  <si>
    <t>Beräknad avsättning</t>
  </si>
  <si>
    <t>Förslag</t>
  </si>
  <si>
    <t>Belopp efter påslag med beräkning</t>
  </si>
  <si>
    <t>Belopp efter påslag med förslag</t>
  </si>
  <si>
    <t>Förtjänstutveckling</t>
  </si>
  <si>
    <r>
      <t>tjänstemän i privat sektor</t>
    </r>
    <r>
      <rPr>
        <b/>
        <sz val="8"/>
        <color indexed="8"/>
        <rFont val="Verdana"/>
        <family val="2"/>
      </rPr>
      <t xml:space="preserve"> 2011 </t>
    </r>
  </si>
  <si>
    <t>enligt konjunkturlönestatistiken</t>
  </si>
  <si>
    <t>Procentuell förändring från motsvarande månad året innan.         </t>
  </si>
  <si>
    <t>Budget föreg år</t>
  </si>
  <si>
    <t xml:space="preserve">Påslag </t>
  </si>
  <si>
    <t>November nästföregående år</t>
  </si>
  <si>
    <t>9. Genomsnittlig månadslön, exklusive rörliga tillägg och inklusive retroaktiva löner</t>
  </si>
  <si>
    <t>November föregående år</t>
  </si>
  <si>
    <t xml:space="preserve"> för tjänstemän inom privat sektor, utveckling fr.o.m. november 2009 t.o.m. november 2010</t>
  </si>
  <si>
    <t>Nytt system fr 2011 uppgifter från medlingsinstitutet.</t>
  </si>
  <si>
    <t xml:space="preserve"> Löneutveckling för tjänstemän inom privat sektor </t>
  </si>
  <si>
    <t>Budgetförslag</t>
  </si>
  <si>
    <t>Månadslön inkl rörliga tillägg. Procentuell förändring från motsvarande månad föregående år</t>
  </si>
  <si>
    <t>Överskott tidigare år</t>
  </si>
  <si>
    <t>Fast avg</t>
  </si>
  <si>
    <t xml:space="preserve">  -  Varav rörligt</t>
  </si>
  <si>
    <t xml:space="preserve">  -  Varav fast</t>
  </si>
  <si>
    <t>Kontroll</t>
  </si>
  <si>
    <t>Summa kbm</t>
  </si>
  <si>
    <t>uppsk KV</t>
  </si>
  <si>
    <t xml:space="preserve">Deb.pris </t>
  </si>
  <si>
    <t>Intäkt</t>
  </si>
  <si>
    <t>uppsk VV 28%</t>
  </si>
  <si>
    <t>El-intäkt</t>
  </si>
  <si>
    <t>Utjämningspost</t>
  </si>
  <si>
    <t>Avskrivningar på invent. o verktyg</t>
  </si>
  <si>
    <t>Enl beräkn</t>
  </si>
  <si>
    <t>Uppskattat</t>
  </si>
  <si>
    <t>Lätt uppfräschning</t>
  </si>
  <si>
    <t>Se underhållsfond</t>
  </si>
  <si>
    <t>Tidigare beslut</t>
  </si>
  <si>
    <t>Svårbedömt</t>
  </si>
  <si>
    <t>Bör kunna minskas</t>
  </si>
  <si>
    <t>2019 dyrt pga startår</t>
  </si>
  <si>
    <t>Ingen stämma</t>
  </si>
  <si>
    <t>Låg arb.g.avgift april--</t>
  </si>
  <si>
    <t>Summa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</si>
</sst>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#,##0.00_);\(&quot;kr&quot;#,##0.00\)"/>
    <numFmt numFmtId="165" formatCode="[$-41D]mmmm\ /yy;@"/>
    <numFmt numFmtId="166" formatCode="#,##0.00\ &quot;kr&quot;"/>
  </numFmts>
  <fonts count="3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MS Sans Serif"/>
    </font>
    <font>
      <sz val="10"/>
      <name val="Times New Roman"/>
      <family val="1"/>
    </font>
    <font>
      <b/>
      <u/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sz val="9"/>
      <color indexed="10"/>
      <name val="Arial"/>
      <family val="2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MS Sans Serif"/>
    </font>
    <font>
      <sz val="9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i/>
      <sz val="11"/>
      <color theme="1"/>
      <name val="Calibri"/>
      <family val="2"/>
      <scheme val="minor"/>
    </font>
    <font>
      <b/>
      <sz val="8"/>
      <name val="MS Sans Serif"/>
    </font>
    <font>
      <b/>
      <sz val="8"/>
      <name val="Times New Roman"/>
      <family val="1"/>
    </font>
    <font>
      <b/>
      <sz val="10"/>
      <name val="MS Sans Serif"/>
    </font>
    <font>
      <sz val="10"/>
      <name val="MS Sans Serif"/>
    </font>
    <font>
      <sz val="12"/>
      <name val="MS Sans Serif"/>
    </font>
    <font>
      <b/>
      <sz val="9.5"/>
      <name val="MS Sans Serif"/>
    </font>
    <font>
      <i/>
      <sz val="10"/>
      <name val="MS Sans Serif"/>
    </font>
    <font>
      <sz val="10"/>
      <color indexed="10"/>
      <name val="MS Sans Serif"/>
      <family val="2"/>
    </font>
    <font>
      <sz val="8"/>
      <color indexed="10"/>
      <name val="MS Sans Serif"/>
      <family val="2"/>
    </font>
    <font>
      <b/>
      <sz val="11"/>
      <name val="MS Sans Serif"/>
      <family val="2"/>
    </font>
    <font>
      <b/>
      <i/>
      <sz val="8.5"/>
      <name val="MS Sans Serif"/>
      <family val="2"/>
    </font>
    <font>
      <b/>
      <sz val="10"/>
      <color indexed="60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6"/>
      <color indexed="8"/>
      <name val="Verdana"/>
      <family val="2"/>
    </font>
    <font>
      <b/>
      <sz val="7"/>
      <color indexed="8"/>
      <name val="Verdana"/>
      <family val="2"/>
    </font>
    <font>
      <b/>
      <sz val="6"/>
      <color indexed="8"/>
      <name val="Verdana"/>
      <family val="2"/>
    </font>
    <font>
      <i/>
      <sz val="9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2">
    <xf numFmtId="0" fontId="0" fillId="0" borderId="0" xfId="0"/>
    <xf numFmtId="1" fontId="0" fillId="0" borderId="0" xfId="0" applyNumberFormat="1"/>
    <xf numFmtId="0" fontId="3" fillId="0" borderId="0" xfId="0" applyFont="1"/>
    <xf numFmtId="0" fontId="6" fillId="0" borderId="0" xfId="0" applyFont="1"/>
    <xf numFmtId="2" fontId="5" fillId="0" borderId="0" xfId="0" applyNumberFormat="1" applyFont="1" applyAlignment="1">
      <alignment horizontal="center" vertical="top"/>
    </xf>
    <xf numFmtId="3" fontId="0" fillId="0" borderId="0" xfId="0" applyNumberFormat="1" applyAlignment="1">
      <alignment vertical="top"/>
    </xf>
    <xf numFmtId="3" fontId="0" fillId="0" borderId="4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3" fontId="0" fillId="0" borderId="0" xfId="0" applyNumberFormat="1"/>
    <xf numFmtId="0" fontId="10" fillId="0" borderId="0" xfId="0" applyFont="1"/>
    <xf numFmtId="3" fontId="4" fillId="0" borderId="0" xfId="0" applyNumberFormat="1" applyFont="1" applyAlignment="1">
      <alignment horizontal="right" vertical="top" wrapText="1"/>
    </xf>
    <xf numFmtId="3" fontId="0" fillId="0" borderId="0" xfId="0" applyNumberFormat="1" applyAlignment="1">
      <alignment horizontal="right" vertical="top"/>
    </xf>
    <xf numFmtId="0" fontId="8" fillId="0" borderId="0" xfId="0" applyFont="1" applyAlignment="1">
      <alignment horizontal="center" vertical="top" wrapText="1"/>
    </xf>
    <xf numFmtId="1" fontId="5" fillId="0" borderId="0" xfId="0" applyNumberFormat="1" applyFont="1" applyAlignment="1">
      <alignment horizontal="center" vertical="top"/>
    </xf>
    <xf numFmtId="4" fontId="0" fillId="0" borderId="0" xfId="0" applyNumberFormat="1" applyAlignment="1">
      <alignment vertical="top"/>
    </xf>
    <xf numFmtId="0" fontId="12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3" borderId="16" xfId="0" applyFont="1" applyFill="1" applyBorder="1" applyAlignment="1">
      <alignment vertical="top"/>
    </xf>
    <xf numFmtId="3" fontId="0" fillId="3" borderId="4" xfId="0" applyNumberFormat="1" applyFill="1" applyBorder="1" applyAlignment="1">
      <alignment horizontal="right" vertical="top"/>
    </xf>
    <xf numFmtId="4" fontId="0" fillId="3" borderId="17" xfId="0" applyNumberFormat="1" applyFill="1" applyBorder="1" applyAlignment="1">
      <alignment vertical="top"/>
    </xf>
    <xf numFmtId="0" fontId="0" fillId="3" borderId="0" xfId="0" applyFill="1"/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16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horizontal="center"/>
    </xf>
    <xf numFmtId="0" fontId="11" fillId="3" borderId="1" xfId="0" applyFont="1" applyFill="1" applyBorder="1" applyAlignment="1">
      <alignment vertical="top"/>
    </xf>
    <xf numFmtId="3" fontId="11" fillId="3" borderId="2" xfId="0" applyNumberFormat="1" applyFont="1" applyFill="1" applyBorder="1" applyAlignment="1">
      <alignment horizontal="right" vertical="top"/>
    </xf>
    <xf numFmtId="16" fontId="11" fillId="3" borderId="3" xfId="0" applyNumberFormat="1" applyFont="1" applyFill="1" applyBorder="1"/>
    <xf numFmtId="14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3" fontId="7" fillId="0" borderId="1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4" fillId="0" borderId="0" xfId="0" applyNumberFormat="1" applyFont="1" applyAlignment="1">
      <alignment horizontal="right" vertical="top" wrapText="1"/>
    </xf>
    <xf numFmtId="3" fontId="14" fillId="2" borderId="0" xfId="0" applyNumberFormat="1" applyFont="1" applyFill="1" applyAlignment="1">
      <alignment horizontal="right" vertical="top" wrapText="1"/>
    </xf>
    <xf numFmtId="3" fontId="15" fillId="0" borderId="0" xfId="0" applyNumberFormat="1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7" fillId="0" borderId="0" xfId="1" applyFont="1"/>
    <xf numFmtId="0" fontId="19" fillId="0" borderId="0" xfId="1" applyFont="1"/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>
      <alignment wrapText="1"/>
    </xf>
    <xf numFmtId="0" fontId="4" fillId="0" borderId="0" xfId="0" applyFont="1"/>
    <xf numFmtId="0" fontId="21" fillId="0" borderId="0" xfId="0" applyFont="1" applyAlignment="1">
      <alignment wrapText="1"/>
    </xf>
    <xf numFmtId="3" fontId="4" fillId="0" borderId="0" xfId="0" applyNumberFormat="1" applyFont="1" applyAlignment="1">
      <alignment vertical="top"/>
    </xf>
    <xf numFmtId="3" fontId="4" fillId="0" borderId="4" xfId="0" applyNumberFormat="1" applyFont="1" applyBorder="1" applyAlignment="1">
      <alignment vertical="top"/>
    </xf>
    <xf numFmtId="0" fontId="13" fillId="0" borderId="0" xfId="0" applyFont="1"/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0" xfId="0" applyFont="1"/>
    <xf numFmtId="3" fontId="6" fillId="0" borderId="0" xfId="0" applyNumberFormat="1" applyFont="1" applyAlignment="1">
      <alignment horizontal="right" vertical="top" wrapText="1"/>
    </xf>
    <xf numFmtId="0" fontId="22" fillId="0" borderId="0" xfId="0" applyFont="1"/>
    <xf numFmtId="4" fontId="0" fillId="0" borderId="0" xfId="0" applyNumberFormat="1"/>
    <xf numFmtId="0" fontId="4" fillId="0" borderId="0" xfId="0" applyFont="1" applyAlignment="1">
      <alignment horizontal="right" vertical="top" wrapText="1"/>
    </xf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5" borderId="0" xfId="0" applyFill="1"/>
    <xf numFmtId="0" fontId="25" fillId="0" borderId="0" xfId="0" applyFont="1"/>
    <xf numFmtId="0" fontId="11" fillId="0" borderId="0" xfId="0" applyFont="1"/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26" fillId="0" borderId="0" xfId="0" applyFont="1"/>
    <xf numFmtId="2" fontId="23" fillId="0" borderId="0" xfId="0" applyNumberFormat="1" applyFont="1"/>
    <xf numFmtId="2" fontId="0" fillId="0" borderId="0" xfId="0" applyNumberFormat="1"/>
    <xf numFmtId="0" fontId="27" fillId="0" borderId="0" xfId="0" applyFont="1"/>
    <xf numFmtId="164" fontId="0" fillId="0" borderId="0" xfId="0" applyNumberFormat="1"/>
    <xf numFmtId="0" fontId="28" fillId="0" borderId="0" xfId="0" applyFont="1"/>
    <xf numFmtId="0" fontId="8" fillId="0" borderId="0" xfId="0" applyFont="1"/>
    <xf numFmtId="4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29" fillId="0" borderId="0" xfId="0" applyFont="1"/>
    <xf numFmtId="0" fontId="30" fillId="0" borderId="0" xfId="0" applyFont="1"/>
    <xf numFmtId="165" fontId="30" fillId="0" borderId="0" xfId="0" applyNumberFormat="1" applyFont="1"/>
    <xf numFmtId="4" fontId="30" fillId="0" borderId="0" xfId="0" applyNumberFormat="1" applyFon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9" fontId="0" fillId="0" borderId="0" xfId="0" applyNumberFormat="1"/>
    <xf numFmtId="3" fontId="8" fillId="0" borderId="0" xfId="0" applyNumberFormat="1" applyFont="1"/>
    <xf numFmtId="0" fontId="34" fillId="0" borderId="0" xfId="0" applyFont="1" applyAlignment="1">
      <alignment horizontal="right" wrapText="1"/>
    </xf>
    <xf numFmtId="0" fontId="36" fillId="0" borderId="0" xfId="0" applyFont="1" applyAlignment="1">
      <alignment horizontal="right" wrapText="1"/>
    </xf>
    <xf numFmtId="0" fontId="9" fillId="0" borderId="0" xfId="0" applyFont="1"/>
    <xf numFmtId="3" fontId="0" fillId="3" borderId="17" xfId="0" applyNumberFormat="1" applyFill="1" applyBorder="1" applyAlignment="1">
      <alignment horizontal="right" vertical="top"/>
    </xf>
    <xf numFmtId="0" fontId="0" fillId="3" borderId="20" xfId="0" applyFill="1" applyBorder="1"/>
    <xf numFmtId="0" fontId="0" fillId="3" borderId="25" xfId="0" applyFill="1" applyBorder="1" applyAlignment="1">
      <alignment horizontal="center"/>
    </xf>
    <xf numFmtId="0" fontId="0" fillId="3" borderId="21" xfId="0" applyFill="1" applyBorder="1"/>
    <xf numFmtId="0" fontId="35" fillId="0" borderId="0" xfId="0" applyFont="1" applyAlignment="1">
      <alignment wrapText="1"/>
    </xf>
    <xf numFmtId="3" fontId="14" fillId="6" borderId="0" xfId="0" applyNumberFormat="1" applyFont="1" applyFill="1" applyAlignment="1">
      <alignment horizontal="right" vertical="top" wrapText="1"/>
    </xf>
    <xf numFmtId="166" fontId="0" fillId="0" borderId="0" xfId="0" applyNumberFormat="1"/>
    <xf numFmtId="0" fontId="0" fillId="7" borderId="26" xfId="0" applyFill="1" applyBorder="1"/>
    <xf numFmtId="0" fontId="0" fillId="7" borderId="27" xfId="0" applyFill="1" applyBorder="1"/>
    <xf numFmtId="3" fontId="0" fillId="7" borderId="28" xfId="0" applyNumberFormat="1" applyFill="1" applyBorder="1"/>
    <xf numFmtId="0" fontId="0" fillId="7" borderId="29" xfId="0" applyFill="1" applyBorder="1"/>
    <xf numFmtId="0" fontId="0" fillId="7" borderId="30" xfId="0" applyFill="1" applyBorder="1"/>
    <xf numFmtId="3" fontId="0" fillId="7" borderId="31" xfId="0" applyNumberFormat="1" applyFill="1" applyBorder="1"/>
    <xf numFmtId="0" fontId="0" fillId="7" borderId="32" xfId="0" applyFill="1" applyBorder="1"/>
    <xf numFmtId="0" fontId="0" fillId="7" borderId="33" xfId="0" applyFill="1" applyBorder="1"/>
    <xf numFmtId="3" fontId="0" fillId="7" borderId="34" xfId="0" applyNumberFormat="1" applyFill="1" applyBorder="1"/>
    <xf numFmtId="0" fontId="37" fillId="0" borderId="0" xfId="0" applyFont="1" applyAlignment="1">
      <alignment horizontal="right"/>
    </xf>
    <xf numFmtId="3" fontId="37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 vertical="top" wrapText="1"/>
    </xf>
    <xf numFmtId="0" fontId="34" fillId="0" borderId="0" xfId="0" applyFont="1" applyAlignment="1">
      <alignment horizontal="left" wrapText="1"/>
    </xf>
    <xf numFmtId="0" fontId="35" fillId="0" borderId="0" xfId="0" applyFont="1" applyAlignment="1">
      <alignment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1AED1B8C-FAB1-4AE0-B0D3-BEA298F98B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abSelected="1" zoomScaleNormal="100" workbookViewId="0">
      <pane xSplit="2" ySplit="2" topLeftCell="C60" activePane="bottomRight" state="frozen"/>
      <selection pane="topRight" activeCell="B1" sqref="B1"/>
      <selection pane="bottomLeft" activeCell="A3" sqref="A3"/>
      <selection pane="bottomRight" activeCell="I80" sqref="I80"/>
    </sheetView>
  </sheetViews>
  <sheetFormatPr defaultRowHeight="12.75" x14ac:dyDescent="0.2"/>
  <cols>
    <col min="1" max="1" width="5.5703125" bestFit="1" customWidth="1"/>
    <col min="2" max="2" width="31" bestFit="1" customWidth="1"/>
    <col min="3" max="3" width="18" style="9" bestFit="1" customWidth="1"/>
    <col min="4" max="4" width="12.5703125" style="28" bestFit="1" customWidth="1"/>
    <col min="5" max="5" width="11.85546875" style="28" customWidth="1"/>
    <col min="6" max="6" width="12.28515625" style="31" hidden="1" customWidth="1"/>
    <col min="7" max="7" width="12.140625" style="9" bestFit="1" customWidth="1"/>
    <col min="8" max="8" width="12.28515625" style="7" customWidth="1"/>
    <col min="9" max="9" width="9.42578125" style="62" customWidth="1"/>
    <col min="10" max="10" width="12.5703125" style="59" bestFit="1" customWidth="1"/>
    <col min="11" max="11" width="10.42578125" bestFit="1" customWidth="1"/>
    <col min="12" max="12" width="9.28515625" bestFit="1" customWidth="1"/>
  </cols>
  <sheetData>
    <row r="1" spans="1:11" ht="15.75" x14ac:dyDescent="0.2">
      <c r="B1" s="29">
        <v>2020</v>
      </c>
      <c r="C1" s="48" t="s">
        <v>0</v>
      </c>
      <c r="D1" s="47">
        <v>43933</v>
      </c>
      <c r="E1" s="10"/>
      <c r="F1" s="3"/>
      <c r="G1" s="62"/>
      <c r="H1" s="59"/>
      <c r="I1"/>
      <c r="J1"/>
    </row>
    <row r="2" spans="1:11" ht="21.75" x14ac:dyDescent="0.2">
      <c r="B2" s="11" t="s">
        <v>1</v>
      </c>
      <c r="C2" s="4" t="s">
        <v>2</v>
      </c>
      <c r="D2" s="30">
        <v>2020</v>
      </c>
      <c r="E2" s="30">
        <v>2019</v>
      </c>
      <c r="F2" s="30">
        <v>2017</v>
      </c>
      <c r="G2" s="63" t="s">
        <v>3</v>
      </c>
      <c r="H2" s="61" t="s">
        <v>4</v>
      </c>
      <c r="I2"/>
      <c r="J2"/>
    </row>
    <row r="3" spans="1:11" x14ac:dyDescent="0.2">
      <c r="A3">
        <v>4010</v>
      </c>
      <c r="B3" t="s">
        <v>5</v>
      </c>
      <c r="C3" s="56" t="s">
        <v>200</v>
      </c>
      <c r="D3" s="53">
        <v>970000</v>
      </c>
      <c r="E3" s="27">
        <v>951535</v>
      </c>
      <c r="F3" s="27">
        <v>924734</v>
      </c>
      <c r="G3" s="27">
        <v>1000000</v>
      </c>
      <c r="H3" s="60">
        <f>IF(G3="","",G3-E3)</f>
        <v>48465</v>
      </c>
      <c r="I3"/>
      <c r="J3"/>
    </row>
    <row r="4" spans="1:11" x14ac:dyDescent="0.2">
      <c r="A4">
        <v>4011</v>
      </c>
      <c r="B4" t="s">
        <v>6</v>
      </c>
      <c r="C4" s="56" t="s">
        <v>200</v>
      </c>
      <c r="D4" s="53">
        <v>2900000</v>
      </c>
      <c r="E4" s="27">
        <v>2673922</v>
      </c>
      <c r="F4" s="27">
        <v>2785461</v>
      </c>
      <c r="G4" s="27">
        <v>3000000</v>
      </c>
      <c r="H4" s="60">
        <f t="shared" ref="H4:H66" si="0">IF(G4="","",G4-E4)</f>
        <v>326078</v>
      </c>
      <c r="I4"/>
      <c r="J4"/>
    </row>
    <row r="5" spans="1:11" ht="12.75" customHeight="1" x14ac:dyDescent="0.2">
      <c r="A5">
        <v>4020</v>
      </c>
      <c r="B5" t="s">
        <v>7</v>
      </c>
      <c r="C5" s="56" t="s">
        <v>200</v>
      </c>
      <c r="D5" s="53">
        <v>1800000</v>
      </c>
      <c r="E5" s="27">
        <v>1776269</v>
      </c>
      <c r="F5" s="27">
        <v>1664280</v>
      </c>
      <c r="G5" s="27">
        <v>1800000</v>
      </c>
      <c r="H5" s="60">
        <f t="shared" si="0"/>
        <v>23731</v>
      </c>
      <c r="I5"/>
      <c r="J5" s="27"/>
      <c r="K5" t="s">
        <v>8</v>
      </c>
    </row>
    <row r="6" spans="1:11" ht="12.75" customHeight="1" x14ac:dyDescent="0.2">
      <c r="A6">
        <v>4030</v>
      </c>
      <c r="B6" t="s">
        <v>9</v>
      </c>
      <c r="C6" s="56" t="s">
        <v>201</v>
      </c>
      <c r="D6" s="53">
        <v>400000</v>
      </c>
      <c r="E6" s="126">
        <v>382704</v>
      </c>
      <c r="F6" s="27">
        <v>339391</v>
      </c>
      <c r="G6" s="27">
        <v>355000</v>
      </c>
      <c r="H6" s="60">
        <f t="shared" si="0"/>
        <v>-27704</v>
      </c>
      <c r="I6"/>
      <c r="J6" s="27"/>
    </row>
    <row r="7" spans="1:11" hidden="1" x14ac:dyDescent="0.2">
      <c r="A7">
        <v>4110</v>
      </c>
      <c r="B7" t="s">
        <v>10</v>
      </c>
      <c r="C7" s="56"/>
      <c r="D7" s="53"/>
      <c r="E7" s="27"/>
      <c r="F7" s="27">
        <v>381060</v>
      </c>
      <c r="G7" s="27"/>
      <c r="H7" s="60" t="str">
        <f t="shared" si="0"/>
        <v/>
      </c>
      <c r="I7"/>
      <c r="J7" s="27"/>
    </row>
    <row r="8" spans="1:11" x14ac:dyDescent="0.2">
      <c r="A8">
        <v>4110</v>
      </c>
      <c r="B8" t="s">
        <v>10</v>
      </c>
      <c r="C8" s="56" t="s">
        <v>202</v>
      </c>
      <c r="D8" s="53">
        <v>75000</v>
      </c>
      <c r="E8" s="27">
        <v>42944</v>
      </c>
      <c r="F8" s="27">
        <v>0</v>
      </c>
      <c r="G8" s="27">
        <v>50000</v>
      </c>
      <c r="H8" s="60">
        <f t="shared" si="0"/>
        <v>7056</v>
      </c>
      <c r="I8"/>
      <c r="J8" s="27"/>
    </row>
    <row r="9" spans="1:11" x14ac:dyDescent="0.2">
      <c r="A9">
        <v>4111</v>
      </c>
      <c r="B9" t="s">
        <v>11</v>
      </c>
      <c r="C9" s="56"/>
      <c r="D9" s="53">
        <v>540000</v>
      </c>
      <c r="E9" s="27">
        <v>529330</v>
      </c>
      <c r="F9" s="27">
        <v>517550</v>
      </c>
      <c r="G9" s="27">
        <v>530000</v>
      </c>
      <c r="H9" s="60">
        <f t="shared" si="0"/>
        <v>670</v>
      </c>
      <c r="I9"/>
      <c r="J9" s="27"/>
    </row>
    <row r="10" spans="1:11" x14ac:dyDescent="0.2">
      <c r="A10">
        <v>4120</v>
      </c>
      <c r="B10" t="s">
        <v>12</v>
      </c>
      <c r="C10" s="56" t="s">
        <v>203</v>
      </c>
      <c r="D10" s="53">
        <v>0</v>
      </c>
      <c r="E10" s="27">
        <v>0</v>
      </c>
      <c r="F10" s="27">
        <v>56625</v>
      </c>
      <c r="G10" s="27">
        <v>50000</v>
      </c>
      <c r="H10" s="60">
        <f t="shared" si="0"/>
        <v>50000</v>
      </c>
      <c r="I10"/>
      <c r="J10" s="25"/>
    </row>
    <row r="11" spans="1:11" x14ac:dyDescent="0.2">
      <c r="A11">
        <v>4130</v>
      </c>
      <c r="B11" t="s">
        <v>13</v>
      </c>
      <c r="C11" s="56"/>
      <c r="D11" s="53">
        <v>1000</v>
      </c>
      <c r="E11" s="27">
        <v>0</v>
      </c>
      <c r="F11" s="27">
        <v>0</v>
      </c>
      <c r="G11" s="27">
        <v>1000</v>
      </c>
      <c r="H11" s="60">
        <f t="shared" si="0"/>
        <v>1000</v>
      </c>
      <c r="I11"/>
      <c r="J11"/>
    </row>
    <row r="12" spans="1:11" x14ac:dyDescent="0.2">
      <c r="A12">
        <v>4150</v>
      </c>
      <c r="B12" t="s">
        <v>14</v>
      </c>
      <c r="C12" s="56"/>
      <c r="D12" s="53">
        <v>40000</v>
      </c>
      <c r="E12" s="27">
        <v>39940</v>
      </c>
      <c r="F12" s="27">
        <v>66096</v>
      </c>
      <c r="G12" s="27">
        <v>38000</v>
      </c>
      <c r="H12" s="60">
        <f t="shared" si="0"/>
        <v>-1940</v>
      </c>
      <c r="I12"/>
      <c r="J12"/>
    </row>
    <row r="13" spans="1:11" x14ac:dyDescent="0.2">
      <c r="A13">
        <v>4210</v>
      </c>
      <c r="B13" t="s">
        <v>15</v>
      </c>
      <c r="C13" s="56"/>
      <c r="D13" s="53">
        <v>1000</v>
      </c>
      <c r="E13" s="27"/>
      <c r="F13" s="27">
        <v>0</v>
      </c>
      <c r="G13" s="27">
        <v>1000</v>
      </c>
      <c r="H13" s="60">
        <f t="shared" si="0"/>
        <v>1000</v>
      </c>
      <c r="I13"/>
      <c r="J13"/>
    </row>
    <row r="14" spans="1:11" x14ac:dyDescent="0.2">
      <c r="A14">
        <v>4220</v>
      </c>
      <c r="B14" t="s">
        <v>16</v>
      </c>
      <c r="C14" s="56" t="s">
        <v>17</v>
      </c>
      <c r="D14" s="53">
        <v>1000</v>
      </c>
      <c r="E14" s="27">
        <v>17756</v>
      </c>
      <c r="F14" s="27">
        <v>56212</v>
      </c>
      <c r="G14" s="27">
        <v>1000</v>
      </c>
      <c r="H14" s="60">
        <f t="shared" si="0"/>
        <v>-16756</v>
      </c>
      <c r="I14"/>
      <c r="J14"/>
    </row>
    <row r="15" spans="1:11" x14ac:dyDescent="0.2">
      <c r="A15">
        <v>4230</v>
      </c>
      <c r="B15" t="s">
        <v>18</v>
      </c>
      <c r="C15" s="56" t="s">
        <v>17</v>
      </c>
      <c r="D15" s="53">
        <v>1000</v>
      </c>
      <c r="E15" s="27">
        <v>115994</v>
      </c>
      <c r="F15" s="27">
        <v>33859</v>
      </c>
      <c r="G15" s="27">
        <v>1000</v>
      </c>
      <c r="H15" s="60">
        <f t="shared" si="0"/>
        <v>-114994</v>
      </c>
      <c r="I15"/>
      <c r="J15"/>
    </row>
    <row r="16" spans="1:11" x14ac:dyDescent="0.2">
      <c r="A16">
        <v>4240</v>
      </c>
      <c r="B16" t="s">
        <v>19</v>
      </c>
      <c r="C16" s="56"/>
      <c r="D16" s="53">
        <v>35000</v>
      </c>
      <c r="E16" s="27">
        <v>31471</v>
      </c>
      <c r="F16" s="27">
        <v>26564</v>
      </c>
      <c r="G16" s="27">
        <v>30000</v>
      </c>
      <c r="H16" s="60">
        <f t="shared" si="0"/>
        <v>-1471</v>
      </c>
      <c r="I16"/>
      <c r="J16"/>
    </row>
    <row r="17" spans="1:11" x14ac:dyDescent="0.2">
      <c r="A17">
        <v>4250</v>
      </c>
      <c r="B17" t="s">
        <v>20</v>
      </c>
      <c r="C17" s="56"/>
      <c r="D17" s="53">
        <v>1000</v>
      </c>
      <c r="E17" s="27"/>
      <c r="F17" s="27">
        <v>0</v>
      </c>
      <c r="G17" s="27">
        <v>1000</v>
      </c>
      <c r="H17" s="60">
        <f t="shared" si="0"/>
        <v>1000</v>
      </c>
      <c r="I17"/>
      <c r="J17"/>
    </row>
    <row r="18" spans="1:11" x14ac:dyDescent="0.2">
      <c r="A18">
        <v>4270</v>
      </c>
      <c r="B18" t="s">
        <v>21</v>
      </c>
      <c r="C18" s="56" t="s">
        <v>22</v>
      </c>
      <c r="D18" s="53">
        <v>13000</v>
      </c>
      <c r="E18" s="27"/>
      <c r="F18" s="27">
        <v>1381</v>
      </c>
      <c r="G18" s="27">
        <v>5000</v>
      </c>
      <c r="H18" s="60">
        <f t="shared" si="0"/>
        <v>5000</v>
      </c>
      <c r="I18"/>
      <c r="J18"/>
    </row>
    <row r="19" spans="1:11" x14ac:dyDescent="0.2">
      <c r="A19">
        <v>4320</v>
      </c>
      <c r="B19" t="s">
        <v>23</v>
      </c>
      <c r="C19" s="56"/>
      <c r="D19" s="53">
        <v>1000</v>
      </c>
      <c r="E19" s="27">
        <v>18334</v>
      </c>
      <c r="F19" s="27">
        <v>0</v>
      </c>
      <c r="G19" s="27">
        <v>1000</v>
      </c>
      <c r="H19" s="60">
        <f t="shared" si="0"/>
        <v>-17334</v>
      </c>
      <c r="I19"/>
      <c r="J19"/>
    </row>
    <row r="20" spans="1:11" x14ac:dyDescent="0.2">
      <c r="A20">
        <v>4410</v>
      </c>
      <c r="B20" t="s">
        <v>24</v>
      </c>
      <c r="C20" s="56"/>
      <c r="D20" s="53">
        <v>1000</v>
      </c>
      <c r="E20" s="27"/>
      <c r="F20" s="27">
        <v>5510</v>
      </c>
      <c r="G20" s="27">
        <v>1000</v>
      </c>
      <c r="H20" s="60">
        <f t="shared" si="0"/>
        <v>1000</v>
      </c>
      <c r="I20" s="27"/>
      <c r="J20" s="77"/>
    </row>
    <row r="21" spans="1:11" x14ac:dyDescent="0.2">
      <c r="A21">
        <v>4420</v>
      </c>
      <c r="B21" t="s">
        <v>25</v>
      </c>
      <c r="C21" s="56"/>
      <c r="D21" s="53">
        <v>1000</v>
      </c>
      <c r="E21" s="27">
        <v>8939</v>
      </c>
      <c r="F21" s="27">
        <v>4536</v>
      </c>
      <c r="G21" s="27">
        <v>25000</v>
      </c>
      <c r="H21" s="60">
        <f t="shared" si="0"/>
        <v>16061</v>
      </c>
      <c r="I21" s="27"/>
      <c r="J21" s="77"/>
      <c r="K21" s="27"/>
    </row>
    <row r="22" spans="1:11" x14ac:dyDescent="0.2">
      <c r="A22">
        <v>4430</v>
      </c>
      <c r="B22" t="s">
        <v>26</v>
      </c>
      <c r="C22" s="56"/>
      <c r="D22" s="53">
        <v>1000</v>
      </c>
      <c r="E22" s="27">
        <v>30397</v>
      </c>
      <c r="F22" s="27">
        <v>36802</v>
      </c>
      <c r="G22" s="27">
        <v>1000</v>
      </c>
      <c r="H22" s="60">
        <f t="shared" si="0"/>
        <v>-29397</v>
      </c>
      <c r="I22" s="27"/>
      <c r="J22" s="77"/>
      <c r="K22" s="27"/>
    </row>
    <row r="23" spans="1:11" x14ac:dyDescent="0.2">
      <c r="A23">
        <v>4450</v>
      </c>
      <c r="B23" t="s">
        <v>27</v>
      </c>
      <c r="C23" s="56"/>
      <c r="D23" s="53">
        <v>1000</v>
      </c>
      <c r="E23" s="27">
        <v>675</v>
      </c>
      <c r="F23" s="27">
        <v>3637</v>
      </c>
      <c r="G23" s="27">
        <v>1000</v>
      </c>
      <c r="H23" s="60">
        <f t="shared" si="0"/>
        <v>325</v>
      </c>
      <c r="I23" s="27"/>
      <c r="J23" s="77"/>
      <c r="K23" s="27"/>
    </row>
    <row r="24" spans="1:11" x14ac:dyDescent="0.2">
      <c r="A24">
        <v>4460</v>
      </c>
      <c r="B24" t="s">
        <v>28</v>
      </c>
      <c r="C24" s="56" t="s">
        <v>8</v>
      </c>
      <c r="D24" s="53">
        <v>1000</v>
      </c>
      <c r="E24" s="27">
        <v>5088</v>
      </c>
      <c r="F24" s="27">
        <v>2871</v>
      </c>
      <c r="G24" s="27">
        <v>1000</v>
      </c>
      <c r="H24" s="60">
        <f t="shared" si="0"/>
        <v>-4088</v>
      </c>
      <c r="I24" s="27"/>
      <c r="J24" s="77"/>
      <c r="K24" s="27"/>
    </row>
    <row r="25" spans="1:11" x14ac:dyDescent="0.2">
      <c r="A25">
        <v>4510</v>
      </c>
      <c r="B25" t="s">
        <v>29</v>
      </c>
      <c r="C25" s="56" t="s">
        <v>204</v>
      </c>
      <c r="D25" s="113">
        <v>800000</v>
      </c>
      <c r="E25" s="27"/>
      <c r="F25" s="27"/>
      <c r="G25" s="27">
        <v>800000</v>
      </c>
      <c r="H25" s="60">
        <f t="shared" si="0"/>
        <v>800000</v>
      </c>
      <c r="I25" s="25"/>
      <c r="J25" s="25"/>
      <c r="K25" s="27"/>
    </row>
    <row r="26" spans="1:11" x14ac:dyDescent="0.2">
      <c r="A26">
        <v>4511</v>
      </c>
      <c r="B26" t="s">
        <v>30</v>
      </c>
      <c r="C26" s="56"/>
      <c r="D26" s="113"/>
      <c r="E26" s="27"/>
      <c r="F26" s="27">
        <v>347940</v>
      </c>
      <c r="G26" s="27"/>
      <c r="H26" s="60" t="str">
        <f t="shared" si="0"/>
        <v/>
      </c>
      <c r="I26" s="27"/>
      <c r="J26" s="25"/>
      <c r="K26" s="25"/>
    </row>
    <row r="27" spans="1:11" x14ac:dyDescent="0.2">
      <c r="A27">
        <v>4531</v>
      </c>
      <c r="B27" t="s">
        <v>31</v>
      </c>
      <c r="C27" s="56"/>
      <c r="D27" s="113">
        <v>50000</v>
      </c>
      <c r="E27" s="27"/>
      <c r="F27" s="27"/>
      <c r="G27" s="27"/>
      <c r="H27" s="60" t="str">
        <f t="shared" si="0"/>
        <v/>
      </c>
      <c r="I27" s="27"/>
      <c r="J27" s="25"/>
      <c r="K27" s="25"/>
    </row>
    <row r="28" spans="1:11" x14ac:dyDescent="0.2">
      <c r="A28">
        <v>4515</v>
      </c>
      <c r="B28" t="s">
        <v>32</v>
      </c>
      <c r="C28" s="56"/>
      <c r="D28" s="113"/>
      <c r="E28" s="27"/>
      <c r="F28" s="27"/>
      <c r="G28" s="27"/>
      <c r="H28" s="60" t="str">
        <f t="shared" si="0"/>
        <v/>
      </c>
      <c r="I28" s="27"/>
      <c r="J28" s="25"/>
      <c r="K28" s="25"/>
    </row>
    <row r="29" spans="1:11" x14ac:dyDescent="0.2">
      <c r="A29">
        <v>4520</v>
      </c>
      <c r="B29" t="s">
        <v>33</v>
      </c>
      <c r="C29" s="56"/>
      <c r="D29" s="113"/>
      <c r="E29" s="27"/>
      <c r="F29" s="27"/>
      <c r="G29" s="27"/>
      <c r="H29" s="60" t="str">
        <f t="shared" si="0"/>
        <v/>
      </c>
      <c r="I29" s="25"/>
      <c r="J29"/>
    </row>
    <row r="30" spans="1:11" x14ac:dyDescent="0.2">
      <c r="A30">
        <v>4541</v>
      </c>
      <c r="B30" t="s">
        <v>34</v>
      </c>
      <c r="C30" s="56"/>
      <c r="D30" s="113"/>
      <c r="E30" s="27"/>
      <c r="F30" s="27">
        <v>161841</v>
      </c>
      <c r="G30" s="27"/>
      <c r="H30" s="60" t="str">
        <f t="shared" si="0"/>
        <v/>
      </c>
      <c r="I30"/>
      <c r="J30"/>
    </row>
    <row r="31" spans="1:11" x14ac:dyDescent="0.2">
      <c r="A31">
        <v>4542</v>
      </c>
      <c r="B31" t="s">
        <v>35</v>
      </c>
      <c r="C31" s="56"/>
      <c r="D31" s="113"/>
      <c r="E31" s="27">
        <v>1698615</v>
      </c>
      <c r="F31" s="27">
        <v>591310</v>
      </c>
      <c r="G31" s="27">
        <v>1300000</v>
      </c>
      <c r="H31" s="60">
        <f t="shared" si="0"/>
        <v>-398615</v>
      </c>
      <c r="I31"/>
      <c r="J31"/>
    </row>
    <row r="32" spans="1:11" x14ac:dyDescent="0.2">
      <c r="A32">
        <v>4550</v>
      </c>
      <c r="B32" t="s">
        <v>36</v>
      </c>
      <c r="C32" s="56" t="s">
        <v>204</v>
      </c>
      <c r="D32" s="113">
        <v>500000</v>
      </c>
      <c r="E32" s="27">
        <v>565938</v>
      </c>
      <c r="F32" s="27"/>
      <c r="G32" s="27">
        <v>500000</v>
      </c>
      <c r="H32" s="60">
        <f t="shared" si="0"/>
        <v>-65938</v>
      </c>
      <c r="I32"/>
      <c r="J32"/>
    </row>
    <row r="33" spans="1:12" x14ac:dyDescent="0.2">
      <c r="A33">
        <v>4551</v>
      </c>
      <c r="B33" t="s">
        <v>37</v>
      </c>
      <c r="C33" s="56"/>
      <c r="D33" s="113"/>
      <c r="E33" s="27"/>
      <c r="F33" s="27">
        <v>3145029</v>
      </c>
      <c r="G33" s="27"/>
      <c r="H33" s="60" t="str">
        <f t="shared" si="0"/>
        <v/>
      </c>
      <c r="I33"/>
      <c r="J33"/>
    </row>
    <row r="34" spans="1:12" x14ac:dyDescent="0.2">
      <c r="A34">
        <v>4580</v>
      </c>
      <c r="B34" t="s">
        <v>38</v>
      </c>
      <c r="C34" s="56" t="s">
        <v>204</v>
      </c>
      <c r="D34" s="113">
        <v>100000</v>
      </c>
      <c r="E34" s="27"/>
      <c r="F34" s="27"/>
      <c r="G34" s="27">
        <v>100000</v>
      </c>
      <c r="H34" s="60">
        <f t="shared" si="0"/>
        <v>100000</v>
      </c>
      <c r="I34"/>
      <c r="J34"/>
    </row>
    <row r="35" spans="1:12" x14ac:dyDescent="0.2">
      <c r="A35">
        <v>4581</v>
      </c>
      <c r="B35" t="s">
        <v>39</v>
      </c>
      <c r="C35" s="56"/>
      <c r="D35" s="113"/>
      <c r="E35" s="126"/>
      <c r="F35" s="27">
        <v>606754</v>
      </c>
      <c r="G35" s="27"/>
      <c r="H35" s="60" t="str">
        <f t="shared" si="0"/>
        <v/>
      </c>
      <c r="I35"/>
      <c r="J35"/>
    </row>
    <row r="36" spans="1:12" x14ac:dyDescent="0.2">
      <c r="A36">
        <v>4710</v>
      </c>
      <c r="B36" t="s">
        <v>40</v>
      </c>
      <c r="C36" s="56"/>
      <c r="D36" s="53">
        <v>18000</v>
      </c>
      <c r="E36" s="27">
        <v>17181</v>
      </c>
      <c r="F36" s="27">
        <v>16182</v>
      </c>
      <c r="G36" s="27">
        <v>16000</v>
      </c>
      <c r="H36" s="60">
        <f t="shared" si="0"/>
        <v>-1181</v>
      </c>
      <c r="I36"/>
      <c r="J36"/>
    </row>
    <row r="37" spans="1:12" x14ac:dyDescent="0.2">
      <c r="A37">
        <v>5410</v>
      </c>
      <c r="B37" t="s">
        <v>41</v>
      </c>
      <c r="C37" s="56"/>
      <c r="D37" s="53">
        <v>1000</v>
      </c>
      <c r="E37" s="27">
        <v>28586</v>
      </c>
      <c r="F37" s="27">
        <v>0</v>
      </c>
      <c r="G37" s="27">
        <v>1000</v>
      </c>
      <c r="H37" s="60">
        <f t="shared" si="0"/>
        <v>-27586</v>
      </c>
      <c r="I37"/>
      <c r="J37"/>
    </row>
    <row r="38" spans="1:12" x14ac:dyDescent="0.2">
      <c r="A38">
        <v>5420</v>
      </c>
      <c r="B38" t="s">
        <v>42</v>
      </c>
      <c r="C38" s="9" t="s">
        <v>205</v>
      </c>
      <c r="D38" s="53">
        <v>15000</v>
      </c>
      <c r="E38" s="27">
        <v>4359</v>
      </c>
      <c r="G38" s="62">
        <v>20000</v>
      </c>
      <c r="H38" s="60">
        <f t="shared" si="0"/>
        <v>15641</v>
      </c>
      <c r="I38"/>
      <c r="J38"/>
    </row>
    <row r="39" spans="1:12" x14ac:dyDescent="0.2">
      <c r="A39">
        <v>5460</v>
      </c>
      <c r="B39" t="s">
        <v>43</v>
      </c>
      <c r="C39" s="56"/>
      <c r="D39" s="53">
        <v>1000</v>
      </c>
      <c r="E39" s="27"/>
      <c r="F39" s="27">
        <v>0</v>
      </c>
      <c r="G39" s="27">
        <v>1000</v>
      </c>
      <c r="H39" s="60">
        <f t="shared" si="0"/>
        <v>1000</v>
      </c>
      <c r="I39"/>
      <c r="J39"/>
    </row>
    <row r="40" spans="1:12" x14ac:dyDescent="0.2">
      <c r="A40">
        <v>6110</v>
      </c>
      <c r="B40" t="s">
        <v>44</v>
      </c>
      <c r="C40" s="56"/>
      <c r="D40" s="53">
        <v>1000</v>
      </c>
      <c r="E40" s="27">
        <v>743</v>
      </c>
      <c r="F40" s="27">
        <v>23946</v>
      </c>
      <c r="G40" s="27">
        <v>1000</v>
      </c>
      <c r="H40" s="60">
        <f t="shared" si="0"/>
        <v>257</v>
      </c>
      <c r="I40"/>
      <c r="J40" s="27"/>
      <c r="K40" s="27"/>
      <c r="L40" s="73"/>
    </row>
    <row r="41" spans="1:12" x14ac:dyDescent="0.2">
      <c r="A41">
        <v>6210</v>
      </c>
      <c r="B41" t="s">
        <v>45</v>
      </c>
      <c r="C41" s="56"/>
      <c r="D41" s="53">
        <v>3000</v>
      </c>
      <c r="E41" s="27">
        <v>2090</v>
      </c>
      <c r="F41" s="27"/>
      <c r="G41" s="27">
        <v>5000</v>
      </c>
      <c r="H41" s="60">
        <f t="shared" si="0"/>
        <v>2910</v>
      </c>
      <c r="I41"/>
      <c r="J41" s="27"/>
      <c r="K41" s="27"/>
      <c r="L41" s="73"/>
    </row>
    <row r="42" spans="1:12" x14ac:dyDescent="0.2">
      <c r="A42">
        <v>6350</v>
      </c>
      <c r="B42" t="s">
        <v>46</v>
      </c>
      <c r="C42" s="56" t="s">
        <v>206</v>
      </c>
      <c r="D42" s="53">
        <v>10000</v>
      </c>
      <c r="E42" s="27">
        <v>13851</v>
      </c>
      <c r="F42" s="27"/>
      <c r="G42" s="27">
        <v>1000</v>
      </c>
      <c r="H42" s="60">
        <f t="shared" si="0"/>
        <v>-12851</v>
      </c>
      <c r="I42"/>
      <c r="J42" s="27"/>
      <c r="K42" s="27"/>
      <c r="L42" s="73"/>
    </row>
    <row r="43" spans="1:12" x14ac:dyDescent="0.2">
      <c r="A43">
        <v>6520</v>
      </c>
      <c r="B43" t="s">
        <v>47</v>
      </c>
      <c r="C43" s="56"/>
      <c r="D43" s="53">
        <v>50000</v>
      </c>
      <c r="E43" s="27">
        <v>37279</v>
      </c>
      <c r="F43" s="27">
        <v>79300</v>
      </c>
      <c r="G43" s="27">
        <v>85000</v>
      </c>
      <c r="H43" s="60">
        <f t="shared" si="0"/>
        <v>47721</v>
      </c>
      <c r="I43"/>
      <c r="J43" s="27"/>
      <c r="K43" s="27"/>
      <c r="L43" s="73"/>
    </row>
    <row r="44" spans="1:12" x14ac:dyDescent="0.2">
      <c r="A44">
        <v>6530</v>
      </c>
      <c r="B44" t="s">
        <v>48</v>
      </c>
      <c r="C44" s="56" t="s">
        <v>207</v>
      </c>
      <c r="D44" s="53">
        <v>70000</v>
      </c>
      <c r="E44" s="27">
        <v>119183</v>
      </c>
      <c r="F44" s="27"/>
      <c r="G44" s="27">
        <v>60000</v>
      </c>
      <c r="H44" s="60">
        <f t="shared" si="0"/>
        <v>-59183</v>
      </c>
      <c r="I44"/>
      <c r="J44" s="74"/>
      <c r="K44" s="74"/>
    </row>
    <row r="45" spans="1:12" x14ac:dyDescent="0.2">
      <c r="A45">
        <v>6540</v>
      </c>
      <c r="B45" t="s">
        <v>49</v>
      </c>
      <c r="C45" s="56"/>
      <c r="D45" s="53">
        <v>10000</v>
      </c>
      <c r="E45" s="27">
        <v>14988</v>
      </c>
      <c r="F45" s="27">
        <v>10020</v>
      </c>
      <c r="G45" s="27">
        <v>15000</v>
      </c>
      <c r="H45" s="60">
        <f t="shared" si="0"/>
        <v>12</v>
      </c>
      <c r="I45"/>
      <c r="J45"/>
      <c r="K45" s="27"/>
    </row>
    <row r="46" spans="1:12" x14ac:dyDescent="0.2">
      <c r="A46">
        <v>6570</v>
      </c>
      <c r="B46" t="s">
        <v>50</v>
      </c>
      <c r="C46" s="56"/>
      <c r="D46" s="53">
        <v>6000</v>
      </c>
      <c r="E46" s="27">
        <v>5822</v>
      </c>
      <c r="F46" s="27">
        <v>5847</v>
      </c>
      <c r="G46" s="27">
        <v>6000</v>
      </c>
      <c r="H46" s="60">
        <f t="shared" si="0"/>
        <v>178</v>
      </c>
      <c r="I46"/>
      <c r="J46"/>
    </row>
    <row r="47" spans="1:12" x14ac:dyDescent="0.2">
      <c r="A47">
        <v>6990</v>
      </c>
      <c r="B47" t="s">
        <v>51</v>
      </c>
      <c r="C47" s="56" t="s">
        <v>208</v>
      </c>
      <c r="D47" s="53">
        <v>8000</v>
      </c>
      <c r="E47" s="27">
        <v>12721</v>
      </c>
      <c r="F47" s="27">
        <v>11390</v>
      </c>
      <c r="G47" s="27">
        <v>13000</v>
      </c>
      <c r="H47" s="60">
        <f t="shared" si="0"/>
        <v>279</v>
      </c>
      <c r="I47"/>
      <c r="J47" s="25"/>
      <c r="L47" s="25"/>
    </row>
    <row r="48" spans="1:12" x14ac:dyDescent="0.2">
      <c r="A48">
        <v>6991</v>
      </c>
      <c r="B48" t="s">
        <v>52</v>
      </c>
      <c r="C48" s="56"/>
      <c r="D48" s="53">
        <v>1000</v>
      </c>
      <c r="E48" s="27">
        <v>1792</v>
      </c>
      <c r="F48" s="27"/>
      <c r="G48" s="27">
        <v>17159</v>
      </c>
      <c r="H48" s="60">
        <f t="shared" si="0"/>
        <v>15367</v>
      </c>
      <c r="I48"/>
      <c r="J48"/>
    </row>
    <row r="49" spans="1:11" x14ac:dyDescent="0.2">
      <c r="A49">
        <v>7210</v>
      </c>
      <c r="B49" t="s">
        <v>53</v>
      </c>
      <c r="C49" s="56"/>
      <c r="D49" s="53">
        <v>45000</v>
      </c>
      <c r="E49" s="27">
        <v>48100</v>
      </c>
      <c r="F49" s="27">
        <v>57700</v>
      </c>
      <c r="G49" s="27">
        <v>75000</v>
      </c>
      <c r="H49" s="60">
        <f t="shared" si="0"/>
        <v>26900</v>
      </c>
      <c r="I49"/>
      <c r="J49"/>
    </row>
    <row r="50" spans="1:11" x14ac:dyDescent="0.2">
      <c r="A50">
        <v>7220</v>
      </c>
      <c r="B50" t="s">
        <v>54</v>
      </c>
      <c r="C50" s="56"/>
      <c r="D50" s="53">
        <v>145000</v>
      </c>
      <c r="E50" s="27">
        <v>135800</v>
      </c>
      <c r="F50" s="27">
        <v>144300</v>
      </c>
      <c r="G50" s="27">
        <v>145000</v>
      </c>
      <c r="H50" s="60">
        <f t="shared" si="0"/>
        <v>9200</v>
      </c>
      <c r="I50"/>
      <c r="J50"/>
    </row>
    <row r="51" spans="1:11" x14ac:dyDescent="0.2">
      <c r="A51">
        <v>7510</v>
      </c>
      <c r="B51" t="s">
        <v>55</v>
      </c>
      <c r="C51" s="56" t="s">
        <v>209</v>
      </c>
      <c r="D51" s="53">
        <v>35000</v>
      </c>
      <c r="E51" s="27">
        <v>34261</v>
      </c>
      <c r="F51" s="27">
        <v>46526</v>
      </c>
      <c r="G51" s="27">
        <v>50000</v>
      </c>
      <c r="H51" s="60">
        <f t="shared" si="0"/>
        <v>15739</v>
      </c>
      <c r="I51"/>
      <c r="J51"/>
    </row>
    <row r="52" spans="1:11" x14ac:dyDescent="0.2">
      <c r="A52">
        <v>7699</v>
      </c>
      <c r="B52" t="s">
        <v>56</v>
      </c>
      <c r="C52" s="56"/>
      <c r="D52" s="53">
        <v>1000</v>
      </c>
      <c r="E52" s="27"/>
      <c r="F52" s="27"/>
      <c r="G52" s="27">
        <v>1000</v>
      </c>
      <c r="H52" s="60">
        <f t="shared" si="0"/>
        <v>1000</v>
      </c>
      <c r="I52"/>
      <c r="J52"/>
    </row>
    <row r="53" spans="1:11" x14ac:dyDescent="0.2">
      <c r="A53">
        <v>7811</v>
      </c>
      <c r="B53" t="s">
        <v>199</v>
      </c>
      <c r="C53" s="56"/>
      <c r="D53" s="53">
        <v>20000</v>
      </c>
      <c r="E53" s="27">
        <v>21028</v>
      </c>
      <c r="F53" s="27"/>
      <c r="G53" s="27"/>
      <c r="H53" s="60" t="str">
        <f t="shared" si="0"/>
        <v/>
      </c>
      <c r="I53"/>
      <c r="J53"/>
    </row>
    <row r="54" spans="1:11" x14ac:dyDescent="0.2">
      <c r="A54">
        <v>8422</v>
      </c>
      <c r="B54" t="s">
        <v>57</v>
      </c>
      <c r="C54" s="56"/>
      <c r="D54" s="53"/>
      <c r="E54" s="27"/>
      <c r="F54" s="27">
        <v>9</v>
      </c>
      <c r="G54" s="64"/>
      <c r="H54" s="60" t="str">
        <f t="shared" si="0"/>
        <v/>
      </c>
      <c r="I54"/>
      <c r="J54"/>
    </row>
    <row r="55" spans="1:11" ht="13.5" thickBot="1" x14ac:dyDescent="0.25">
      <c r="A55">
        <v>8810</v>
      </c>
      <c r="B55" t="s">
        <v>58</v>
      </c>
      <c r="C55" s="56"/>
      <c r="D55" s="53">
        <f>750*12*260+260000</f>
        <v>2600000</v>
      </c>
      <c r="E55" s="126">
        <f>700*260*12+260000</f>
        <v>2444000</v>
      </c>
      <c r="F55" s="27"/>
      <c r="G55" s="64">
        <v>2184000</v>
      </c>
      <c r="H55" s="60">
        <f t="shared" si="0"/>
        <v>-260000</v>
      </c>
      <c r="I55"/>
      <c r="J55"/>
    </row>
    <row r="56" spans="1:11" x14ac:dyDescent="0.2">
      <c r="C56" s="56"/>
      <c r="D56" s="6">
        <f>SUM(D3:D55)</f>
        <v>11274000</v>
      </c>
      <c r="E56" s="6">
        <f>SUM(E3:E55)</f>
        <v>11831635</v>
      </c>
      <c r="F56" s="6">
        <v>10797615</v>
      </c>
      <c r="G56" s="65">
        <f>SUM(G3:G55)</f>
        <v>12289159</v>
      </c>
      <c r="H56" s="60">
        <f t="shared" si="0"/>
        <v>457524</v>
      </c>
      <c r="I56"/>
      <c r="J56"/>
    </row>
    <row r="57" spans="1:11" ht="15.95" customHeight="1" thickBot="1" x14ac:dyDescent="0.25">
      <c r="B57" t="s">
        <v>198</v>
      </c>
      <c r="C57" s="56"/>
      <c r="D57" s="54">
        <v>3177</v>
      </c>
      <c r="E57" s="27"/>
      <c r="F57" s="27"/>
      <c r="G57" s="64"/>
      <c r="H57" s="60" t="str">
        <f t="shared" si="0"/>
        <v/>
      </c>
      <c r="I57"/>
      <c r="J57"/>
    </row>
    <row r="58" spans="1:11" ht="15.95" customHeight="1" x14ac:dyDescent="0.2">
      <c r="B58" t="s">
        <v>210</v>
      </c>
      <c r="C58" s="56"/>
      <c r="D58" s="6">
        <f>SUM(D56:D57)</f>
        <v>11277177</v>
      </c>
      <c r="E58" s="6">
        <f>SUM(E56:E57)</f>
        <v>11831635</v>
      </c>
      <c r="F58" s="6">
        <v>13012470</v>
      </c>
      <c r="G58" s="65">
        <f>G56+G57</f>
        <v>12289159</v>
      </c>
      <c r="H58" s="60">
        <f t="shared" si="0"/>
        <v>457524</v>
      </c>
      <c r="I58"/>
      <c r="J58"/>
      <c r="K58" s="25"/>
    </row>
    <row r="59" spans="1:11" ht="15.95" customHeight="1" x14ac:dyDescent="0.2">
      <c r="C59" s="56"/>
      <c r="D59" s="53"/>
      <c r="E59" s="27"/>
      <c r="F59" s="27"/>
      <c r="G59" s="62"/>
      <c r="H59" s="60" t="str">
        <f t="shared" si="0"/>
        <v/>
      </c>
      <c r="I59"/>
      <c r="J59"/>
    </row>
    <row r="60" spans="1:11" ht="15.95" customHeight="1" x14ac:dyDescent="0.2">
      <c r="A60">
        <v>8310</v>
      </c>
      <c r="B60" t="s">
        <v>59</v>
      </c>
      <c r="C60" s="56"/>
      <c r="D60" s="53"/>
      <c r="E60" s="27"/>
      <c r="F60" s="27">
        <v>55</v>
      </c>
      <c r="G60" s="64"/>
      <c r="H60" s="60" t="str">
        <f t="shared" si="0"/>
        <v/>
      </c>
      <c r="I60"/>
      <c r="J60"/>
    </row>
    <row r="61" spans="1:11" ht="15.95" customHeight="1" x14ac:dyDescent="0.2">
      <c r="A61">
        <v>8313</v>
      </c>
      <c r="B61" t="s">
        <v>60</v>
      </c>
      <c r="C61" s="56"/>
      <c r="D61" s="53"/>
      <c r="E61" s="27">
        <v>30</v>
      </c>
      <c r="F61" s="27"/>
      <c r="G61" s="64"/>
      <c r="H61" s="60" t="str">
        <f t="shared" si="0"/>
        <v/>
      </c>
      <c r="I61"/>
      <c r="J61"/>
    </row>
    <row r="62" spans="1:11" ht="15.95" customHeight="1" x14ac:dyDescent="0.2">
      <c r="A62">
        <v>8320</v>
      </c>
      <c r="B62" t="s">
        <v>61</v>
      </c>
      <c r="C62" s="56"/>
      <c r="D62" s="53"/>
      <c r="E62" s="27">
        <v>-85296</v>
      </c>
      <c r="F62" s="27"/>
      <c r="G62" s="64"/>
      <c r="H62" s="60" t="str">
        <f t="shared" si="0"/>
        <v/>
      </c>
      <c r="I62"/>
      <c r="J62"/>
    </row>
    <row r="63" spans="1:11" ht="15.95" customHeight="1" x14ac:dyDescent="0.2">
      <c r="A63">
        <v>8340</v>
      </c>
      <c r="B63" t="s">
        <v>62</v>
      </c>
      <c r="C63" s="56"/>
      <c r="D63" s="53"/>
      <c r="E63" s="27"/>
      <c r="F63" s="27"/>
      <c r="G63" s="64"/>
      <c r="H63" s="60" t="str">
        <f t="shared" si="0"/>
        <v/>
      </c>
      <c r="I63"/>
      <c r="J63"/>
    </row>
    <row r="64" spans="1:11" ht="15.95" customHeight="1" x14ac:dyDescent="0.2">
      <c r="C64" s="56"/>
      <c r="D64" s="53"/>
      <c r="E64" s="27"/>
      <c r="F64" s="27"/>
      <c r="G64" s="64"/>
      <c r="H64" s="60" t="str">
        <f t="shared" si="0"/>
        <v/>
      </c>
      <c r="I64"/>
      <c r="J64"/>
    </row>
    <row r="65" spans="1:11" ht="15.95" customHeight="1" x14ac:dyDescent="0.2">
      <c r="A65">
        <v>8350</v>
      </c>
      <c r="B65" t="s">
        <v>63</v>
      </c>
      <c r="C65" s="56"/>
      <c r="D65" s="53">
        <v>55000</v>
      </c>
      <c r="E65" s="27">
        <v>113552</v>
      </c>
      <c r="F65" s="27">
        <v>47980</v>
      </c>
      <c r="G65" s="64">
        <v>50000</v>
      </c>
      <c r="H65" s="60">
        <f t="shared" si="0"/>
        <v>-63552</v>
      </c>
      <c r="I65"/>
      <c r="J65"/>
    </row>
    <row r="66" spans="1:11" ht="15.95" customHeight="1" x14ac:dyDescent="0.2">
      <c r="A66">
        <v>8819</v>
      </c>
      <c r="B66" t="s">
        <v>64</v>
      </c>
      <c r="C66" s="56"/>
      <c r="D66" s="53">
        <f>D25+D27+D32+D34</f>
        <v>1450000</v>
      </c>
      <c r="E66" s="27">
        <v>2264553</v>
      </c>
      <c r="F66" s="27">
        <v>4852874</v>
      </c>
      <c r="G66" s="64">
        <v>2700000</v>
      </c>
      <c r="H66" s="60">
        <f t="shared" si="0"/>
        <v>435447</v>
      </c>
      <c r="I66"/>
      <c r="J66"/>
      <c r="K66" s="76"/>
    </row>
    <row r="67" spans="1:11" ht="15.95" customHeight="1" thickBot="1" x14ac:dyDescent="0.25">
      <c r="B67" t="s">
        <v>187</v>
      </c>
      <c r="C67" s="56"/>
      <c r="D67" s="54">
        <v>195177</v>
      </c>
      <c r="E67" s="27"/>
      <c r="F67" s="27"/>
      <c r="G67" s="64">
        <v>323651</v>
      </c>
      <c r="H67" s="60">
        <f t="shared" ref="H67:H76" si="1">IF(G67="","",G67-E67)</f>
        <v>323651</v>
      </c>
      <c r="I67"/>
      <c r="J67"/>
      <c r="K67" s="76"/>
    </row>
    <row r="68" spans="1:11" ht="15.95" customHeight="1" x14ac:dyDescent="0.2">
      <c r="C68" s="12"/>
      <c r="D68" s="6">
        <f>SUM(D60:D67)</f>
        <v>1700177</v>
      </c>
      <c r="E68" s="6">
        <f t="shared" ref="E68" si="2">SUM(E60:E67)</f>
        <v>2292839</v>
      </c>
      <c r="F68" s="6">
        <v>4900909</v>
      </c>
      <c r="G68" s="65">
        <f>SUM(G65:G67)</f>
        <v>3073651</v>
      </c>
      <c r="H68" s="60">
        <f t="shared" si="1"/>
        <v>780812</v>
      </c>
      <c r="I68"/>
      <c r="J68"/>
      <c r="K68" s="76"/>
    </row>
    <row r="69" spans="1:11" ht="15.95" customHeight="1" x14ac:dyDescent="0.2">
      <c r="C69" s="12"/>
      <c r="D69" s="53"/>
      <c r="E69" s="27"/>
      <c r="F69" s="27"/>
      <c r="G69" s="64"/>
      <c r="H69" s="60" t="str">
        <f t="shared" si="1"/>
        <v/>
      </c>
      <c r="I69"/>
      <c r="J69"/>
    </row>
    <row r="70" spans="1:11" ht="15.95" customHeight="1" x14ac:dyDescent="0.2">
      <c r="A70">
        <v>3020</v>
      </c>
      <c r="B70" t="s">
        <v>65</v>
      </c>
      <c r="C70" s="56"/>
      <c r="D70" s="53">
        <v>1200000</v>
      </c>
      <c r="E70" s="27">
        <v>1195806</v>
      </c>
      <c r="F70" s="27">
        <v>751151</v>
      </c>
      <c r="G70" s="64">
        <v>760000</v>
      </c>
      <c r="H70" s="60">
        <f t="shared" si="1"/>
        <v>-435806</v>
      </c>
      <c r="J70" s="60"/>
    </row>
    <row r="71" spans="1:11" ht="15.95" customHeight="1" x14ac:dyDescent="0.2">
      <c r="A71">
        <v>3021</v>
      </c>
      <c r="B71" t="s">
        <v>66</v>
      </c>
      <c r="C71" s="56"/>
      <c r="D71" s="53">
        <v>500000</v>
      </c>
      <c r="E71" s="27">
        <v>390584</v>
      </c>
      <c r="F71" s="27">
        <v>968746</v>
      </c>
      <c r="G71" s="64">
        <v>750000</v>
      </c>
      <c r="H71" s="60">
        <f t="shared" si="1"/>
        <v>359416</v>
      </c>
      <c r="J71" s="60"/>
    </row>
    <row r="72" spans="1:11" ht="15.95" customHeight="1" x14ac:dyDescent="0.2">
      <c r="A72">
        <v>3030</v>
      </c>
      <c r="B72" t="s">
        <v>197</v>
      </c>
      <c r="C72" s="56"/>
      <c r="D72" s="53"/>
      <c r="E72" s="27">
        <v>98955</v>
      </c>
      <c r="F72" s="27"/>
      <c r="G72" s="64"/>
      <c r="H72" s="60" t="str">
        <f t="shared" si="1"/>
        <v/>
      </c>
      <c r="J72" s="60"/>
    </row>
    <row r="73" spans="1:11" x14ac:dyDescent="0.2">
      <c r="A73">
        <v>3110</v>
      </c>
      <c r="B73" t="s">
        <v>67</v>
      </c>
      <c r="C73" s="56"/>
      <c r="D73" s="53">
        <v>9000</v>
      </c>
      <c r="E73" s="27">
        <v>8800</v>
      </c>
      <c r="F73" s="27">
        <v>9450</v>
      </c>
      <c r="G73" s="64">
        <v>8000</v>
      </c>
      <c r="H73" s="60">
        <f t="shared" si="1"/>
        <v>-800</v>
      </c>
      <c r="J73" s="60"/>
    </row>
    <row r="74" spans="1:11" x14ac:dyDescent="0.2">
      <c r="A74">
        <v>3120</v>
      </c>
      <c r="B74" t="s">
        <v>68</v>
      </c>
      <c r="C74" s="56"/>
      <c r="D74" s="53">
        <v>17000</v>
      </c>
      <c r="E74" s="27">
        <v>17508</v>
      </c>
      <c r="F74" s="27">
        <v>16836</v>
      </c>
      <c r="G74" s="64">
        <v>17508</v>
      </c>
      <c r="H74" s="60">
        <f t="shared" si="1"/>
        <v>0</v>
      </c>
      <c r="J74" s="60"/>
    </row>
    <row r="75" spans="1:11" x14ac:dyDescent="0.2">
      <c r="A75">
        <v>3210</v>
      </c>
      <c r="B75" t="s">
        <v>69</v>
      </c>
      <c r="C75" s="56"/>
      <c r="D75" s="53">
        <v>137000</v>
      </c>
      <c r="E75" s="27">
        <v>137300</v>
      </c>
      <c r="F75" s="27"/>
      <c r="G75" s="64">
        <v>126630</v>
      </c>
      <c r="H75" s="60">
        <f t="shared" si="1"/>
        <v>-10670</v>
      </c>
      <c r="J75" s="60"/>
    </row>
    <row r="76" spans="1:11" x14ac:dyDescent="0.2">
      <c r="A76">
        <v>3220</v>
      </c>
      <c r="B76" t="s">
        <v>70</v>
      </c>
      <c r="C76" s="56"/>
      <c r="D76" s="53">
        <v>70000</v>
      </c>
      <c r="E76" s="27">
        <v>71571</v>
      </c>
      <c r="F76" s="27"/>
      <c r="G76" s="64">
        <v>70000</v>
      </c>
      <c r="H76" s="60">
        <f t="shared" si="1"/>
        <v>-1571</v>
      </c>
      <c r="J76" s="60"/>
    </row>
    <row r="77" spans="1:11" x14ac:dyDescent="0.2">
      <c r="B77" t="s">
        <v>71</v>
      </c>
      <c r="C77" s="56"/>
      <c r="D77" s="53">
        <f>6*2450*260</f>
        <v>3822000</v>
      </c>
      <c r="E77" s="27"/>
      <c r="F77" s="27"/>
      <c r="G77" s="64">
        <v>3666000</v>
      </c>
      <c r="H77" s="60"/>
      <c r="J77" s="60"/>
    </row>
    <row r="78" spans="1:11" ht="13.5" thickBot="1" x14ac:dyDescent="0.25">
      <c r="B78" t="s">
        <v>72</v>
      </c>
      <c r="C78" s="56"/>
      <c r="D78" s="53"/>
      <c r="E78" s="27">
        <v>7485678</v>
      </c>
      <c r="F78" s="27">
        <v>7852000</v>
      </c>
      <c r="G78" s="64">
        <f>7488000-G77</f>
        <v>3822000</v>
      </c>
      <c r="H78" s="60"/>
      <c r="J78" s="60"/>
    </row>
    <row r="79" spans="1:11" x14ac:dyDescent="0.2">
      <c r="B79" t="s">
        <v>73</v>
      </c>
      <c r="C79" s="13"/>
      <c r="D79" s="6">
        <f>SUM(D68:D78)</f>
        <v>7455177</v>
      </c>
      <c r="E79" s="6">
        <f>SUM(E70:E78)</f>
        <v>9406202</v>
      </c>
      <c r="F79" s="6">
        <v>12779195</v>
      </c>
      <c r="G79" s="65">
        <f>SUM(G70:G78)</f>
        <v>9220138</v>
      </c>
      <c r="H79" s="60"/>
      <c r="J79" s="60"/>
    </row>
    <row r="80" spans="1:11" x14ac:dyDescent="0.2">
      <c r="B80" t="s">
        <v>74</v>
      </c>
      <c r="C80" s="12" t="s">
        <v>75</v>
      </c>
      <c r="D80" s="55">
        <f>D79-D58</f>
        <v>-3822000</v>
      </c>
      <c r="E80" s="5"/>
      <c r="F80" s="5">
        <f t="shared" ref="F80" si="3">F68+F79-F58</f>
        <v>4667634</v>
      </c>
      <c r="G80" s="5"/>
      <c r="H80" s="60"/>
      <c r="J80" s="60"/>
    </row>
    <row r="81" spans="2:10" x14ac:dyDescent="0.2">
      <c r="C81" s="7"/>
      <c r="F81" s="28"/>
      <c r="G81" s="62"/>
      <c r="H81" s="60"/>
      <c r="J81" s="60"/>
    </row>
    <row r="82" spans="2:10" ht="16.5" thickBot="1" x14ac:dyDescent="0.25">
      <c r="F82" s="5"/>
      <c r="H82" s="8"/>
      <c r="J82" s="60"/>
    </row>
    <row r="83" spans="2:10" ht="16.5" thickTop="1" x14ac:dyDescent="0.2">
      <c r="B83" s="14" t="s">
        <v>76</v>
      </c>
      <c r="C83" s="19"/>
      <c r="D83" s="20"/>
      <c r="F83" s="8"/>
      <c r="G83" s="8"/>
      <c r="H83" s="8"/>
      <c r="J83" s="60"/>
    </row>
    <row r="84" spans="2:10" ht="15.75" x14ac:dyDescent="0.2">
      <c r="B84" s="15" t="s">
        <v>77</v>
      </c>
      <c r="C84" s="21"/>
      <c r="D84" s="49">
        <v>2450</v>
      </c>
      <c r="F84" s="8"/>
      <c r="G84" s="8"/>
      <c r="H84" s="8"/>
      <c r="J84" s="60"/>
    </row>
    <row r="85" spans="2:10" ht="15.75" x14ac:dyDescent="0.2">
      <c r="B85" s="16" t="s">
        <v>78</v>
      </c>
      <c r="C85" s="23"/>
      <c r="D85" s="22">
        <v>6</v>
      </c>
      <c r="F85" s="8"/>
      <c r="G85" s="8"/>
      <c r="H85" s="8"/>
      <c r="J85" s="60"/>
    </row>
    <row r="86" spans="2:10" ht="15.75" x14ac:dyDescent="0.2">
      <c r="B86" s="16" t="s">
        <v>79</v>
      </c>
      <c r="C86" s="23"/>
      <c r="D86" s="22">
        <v>6</v>
      </c>
      <c r="F86" s="8"/>
      <c r="G86" s="8"/>
      <c r="H86" s="8"/>
      <c r="J86" s="60"/>
    </row>
    <row r="87" spans="2:10" ht="15.75" x14ac:dyDescent="0.2">
      <c r="B87" s="16" t="s">
        <v>80</v>
      </c>
      <c r="C87" s="23"/>
      <c r="D87" s="49">
        <f>(D58-D79)/260/$D$86</f>
        <v>2450</v>
      </c>
      <c r="F87" s="8"/>
      <c r="G87" s="8"/>
      <c r="H87" s="8"/>
      <c r="J87" s="60"/>
    </row>
    <row r="88" spans="2:10" ht="15.75" x14ac:dyDescent="0.2">
      <c r="B88" s="16"/>
      <c r="C88" s="23"/>
      <c r="D88" s="49"/>
      <c r="F88" s="8"/>
      <c r="G88" s="8"/>
      <c r="H88" s="8"/>
      <c r="J88" s="60"/>
    </row>
    <row r="89" spans="2:10" ht="15.75" x14ac:dyDescent="0.2">
      <c r="B89" s="16" t="s">
        <v>81</v>
      </c>
      <c r="C89" s="23"/>
      <c r="D89" s="49">
        <v>2450</v>
      </c>
      <c r="F89" s="8"/>
      <c r="G89" s="8"/>
      <c r="H89" s="8"/>
      <c r="J89" s="60"/>
    </row>
    <row r="90" spans="2:10" ht="15.75" x14ac:dyDescent="0.2">
      <c r="B90" s="16" t="s">
        <v>82</v>
      </c>
      <c r="C90" s="23"/>
      <c r="D90" s="49">
        <f>TRUNC((D89*D86*260)+SUM($D$68:$D$77)-$D$58,0)</f>
        <v>0</v>
      </c>
      <c r="F90" s="8"/>
      <c r="G90" s="8"/>
      <c r="H90" s="8"/>
      <c r="I90" s="71"/>
      <c r="J90" s="60"/>
    </row>
    <row r="91" spans="2:10" ht="15.75" x14ac:dyDescent="0.2">
      <c r="B91" s="16" t="s">
        <v>83</v>
      </c>
      <c r="C91" s="23"/>
      <c r="D91" s="50"/>
      <c r="F91" s="9"/>
      <c r="G91" s="8"/>
      <c r="H91" s="8"/>
      <c r="J91" s="60"/>
    </row>
    <row r="92" spans="2:10" x14ac:dyDescent="0.2">
      <c r="B92" s="16"/>
      <c r="C92" s="23"/>
      <c r="D92" s="51"/>
      <c r="F92" s="7"/>
      <c r="J92" s="60"/>
    </row>
    <row r="93" spans="2:10" x14ac:dyDescent="0.2">
      <c r="B93" s="16" t="s">
        <v>84</v>
      </c>
      <c r="C93" s="23"/>
      <c r="D93" s="51"/>
      <c r="F93" s="7"/>
      <c r="G93" s="7"/>
      <c r="J93" s="60"/>
    </row>
    <row r="94" spans="2:10" ht="15.75" x14ac:dyDescent="0.2">
      <c r="B94" s="17" t="s">
        <v>85</v>
      </c>
      <c r="C94" s="23"/>
      <c r="D94" s="49">
        <f>D84*D85</f>
        <v>14700</v>
      </c>
      <c r="F94" s="7"/>
      <c r="G94" s="7"/>
      <c r="J94" s="60"/>
    </row>
    <row r="95" spans="2:10" ht="15.75" x14ac:dyDescent="0.2">
      <c r="B95" s="17" t="s">
        <v>86</v>
      </c>
      <c r="C95" s="23"/>
      <c r="D95" s="49">
        <f>D89*D86</f>
        <v>14700</v>
      </c>
      <c r="F95" s="7"/>
      <c r="G95" s="7"/>
      <c r="J95" s="60"/>
    </row>
    <row r="96" spans="2:10" ht="15.75" x14ac:dyDescent="0.2">
      <c r="B96" s="67" t="s">
        <v>87</v>
      </c>
      <c r="C96" s="68"/>
      <c r="D96" s="69">
        <f>SUM(D94:D95)</f>
        <v>29400</v>
      </c>
      <c r="F96" s="7"/>
      <c r="G96" s="7"/>
    </row>
    <row r="97" spans="2:8" ht="16.5" thickBot="1" x14ac:dyDescent="0.25">
      <c r="B97" s="18" t="s">
        <v>88</v>
      </c>
      <c r="C97" s="24"/>
      <c r="D97" s="52">
        <f>D96*260</f>
        <v>7644000</v>
      </c>
      <c r="F97" s="7"/>
      <c r="G97" s="7"/>
    </row>
    <row r="98" spans="2:8" ht="16.5" thickTop="1" x14ac:dyDescent="0.2">
      <c r="C98" s="34"/>
      <c r="D98" s="70"/>
      <c r="E98" s="35"/>
      <c r="F98" s="7"/>
      <c r="G98" s="7"/>
    </row>
    <row r="99" spans="2:8" ht="15.75" x14ac:dyDescent="0.2">
      <c r="C99" s="34"/>
      <c r="D99" s="70"/>
      <c r="E99" s="35"/>
      <c r="F99" s="7"/>
      <c r="G99" s="7"/>
    </row>
    <row r="100" spans="2:8" ht="16.5" thickBot="1" x14ac:dyDescent="0.25">
      <c r="C100" s="34"/>
      <c r="D100" s="35"/>
      <c r="E100" s="35"/>
      <c r="F100" s="7"/>
      <c r="G100" s="7"/>
    </row>
    <row r="101" spans="2:8" x14ac:dyDescent="0.2">
      <c r="C101" s="36" t="s">
        <v>89</v>
      </c>
      <c r="D101" s="37"/>
      <c r="E101" s="108"/>
      <c r="F101" s="38"/>
      <c r="G101" s="72" t="s">
        <v>90</v>
      </c>
      <c r="H101" s="66"/>
    </row>
    <row r="102" spans="2:8" x14ac:dyDescent="0.2">
      <c r="C102" s="41">
        <v>2450</v>
      </c>
      <c r="D102" s="39" t="s">
        <v>91</v>
      </c>
      <c r="E102" s="109"/>
      <c r="F102" s="42">
        <v>40178</v>
      </c>
      <c r="G102" s="2">
        <f>SUM($C$102:C102)</f>
        <v>2450</v>
      </c>
      <c r="H102" s="66">
        <f t="shared" ref="H102:H113" si="4">$G$113-G102</f>
        <v>26950</v>
      </c>
    </row>
    <row r="103" spans="2:8" x14ac:dyDescent="0.2">
      <c r="C103" s="41">
        <v>2450</v>
      </c>
      <c r="D103" s="39" t="s">
        <v>92</v>
      </c>
      <c r="E103" s="109"/>
      <c r="F103" s="42">
        <v>40209</v>
      </c>
      <c r="G103" s="2">
        <f>SUM($C$102:C103)</f>
        <v>4900</v>
      </c>
      <c r="H103" s="66">
        <f t="shared" si="4"/>
        <v>24500</v>
      </c>
    </row>
    <row r="104" spans="2:8" x14ac:dyDescent="0.2">
      <c r="C104" s="41">
        <v>2450</v>
      </c>
      <c r="D104" s="39" t="s">
        <v>93</v>
      </c>
      <c r="E104" s="109"/>
      <c r="F104" s="42">
        <v>40237</v>
      </c>
      <c r="G104" s="2">
        <f>SUM($C$102:C104)</f>
        <v>7350</v>
      </c>
      <c r="H104" s="66">
        <f t="shared" si="4"/>
        <v>22050</v>
      </c>
    </row>
    <row r="105" spans="2:8" x14ac:dyDescent="0.2">
      <c r="C105" s="41">
        <v>2450</v>
      </c>
      <c r="D105" s="39" t="s">
        <v>94</v>
      </c>
      <c r="E105" s="109"/>
      <c r="F105" s="42">
        <v>40268</v>
      </c>
      <c r="G105" s="2">
        <f>SUM($C$102:C105)</f>
        <v>9800</v>
      </c>
      <c r="H105" s="66">
        <f t="shared" si="4"/>
        <v>19600</v>
      </c>
    </row>
    <row r="106" spans="2:8" x14ac:dyDescent="0.2">
      <c r="C106" s="41">
        <v>2450</v>
      </c>
      <c r="D106" s="39" t="s">
        <v>95</v>
      </c>
      <c r="E106" s="109"/>
      <c r="F106" s="42">
        <v>40298</v>
      </c>
      <c r="G106" s="2">
        <f>SUM($C$102:C106)</f>
        <v>12250</v>
      </c>
      <c r="H106" s="66">
        <f t="shared" si="4"/>
        <v>17150</v>
      </c>
    </row>
    <row r="107" spans="2:8" x14ac:dyDescent="0.2">
      <c r="C107" s="41">
        <v>2450</v>
      </c>
      <c r="D107" s="39" t="s">
        <v>96</v>
      </c>
      <c r="E107" s="109"/>
      <c r="F107" s="42">
        <v>40329</v>
      </c>
      <c r="G107" s="2">
        <f>SUM($C$102:C107)</f>
        <v>14700</v>
      </c>
      <c r="H107" s="66">
        <f t="shared" si="4"/>
        <v>14700</v>
      </c>
    </row>
    <row r="108" spans="2:8" x14ac:dyDescent="0.2">
      <c r="C108" s="41">
        <v>2450</v>
      </c>
      <c r="D108" s="39" t="s">
        <v>97</v>
      </c>
      <c r="E108" s="109"/>
      <c r="F108" s="42">
        <v>40359</v>
      </c>
      <c r="G108" s="2">
        <f>SUM($C$102:C108)</f>
        <v>17150</v>
      </c>
      <c r="H108" s="66">
        <f t="shared" si="4"/>
        <v>12250</v>
      </c>
    </row>
    <row r="109" spans="2:8" x14ac:dyDescent="0.2">
      <c r="C109" s="41">
        <v>2450</v>
      </c>
      <c r="D109" s="39" t="s">
        <v>98</v>
      </c>
      <c r="E109" s="109"/>
      <c r="F109" s="42">
        <v>40390</v>
      </c>
      <c r="G109" s="2">
        <f>SUM($C$102:C109)</f>
        <v>19600</v>
      </c>
      <c r="H109" s="66">
        <f t="shared" si="4"/>
        <v>9800</v>
      </c>
    </row>
    <row r="110" spans="2:8" x14ac:dyDescent="0.2">
      <c r="C110" s="41">
        <v>2450</v>
      </c>
      <c r="D110" s="39" t="s">
        <v>99</v>
      </c>
      <c r="E110" s="109"/>
      <c r="F110" s="42">
        <v>40421</v>
      </c>
      <c r="G110" s="2">
        <f>SUM($C$102:C110)</f>
        <v>22050</v>
      </c>
      <c r="H110" s="66">
        <f t="shared" si="4"/>
        <v>7350</v>
      </c>
    </row>
    <row r="111" spans="2:8" x14ac:dyDescent="0.2">
      <c r="C111" s="41">
        <v>2450</v>
      </c>
      <c r="D111" s="39" t="s">
        <v>100</v>
      </c>
      <c r="E111" s="109"/>
      <c r="F111" s="42">
        <v>40451</v>
      </c>
      <c r="G111" s="2">
        <f>SUM($C$102:C111)</f>
        <v>24500</v>
      </c>
      <c r="H111" s="66">
        <f t="shared" si="4"/>
        <v>4900</v>
      </c>
    </row>
    <row r="112" spans="2:8" x14ac:dyDescent="0.2">
      <c r="C112" s="41">
        <v>2450</v>
      </c>
      <c r="D112" s="39" t="s">
        <v>101</v>
      </c>
      <c r="E112" s="109"/>
      <c r="F112" s="42">
        <v>40482</v>
      </c>
      <c r="G112" s="2">
        <f>SUM($C$102:C112)</f>
        <v>26950</v>
      </c>
      <c r="H112" s="66">
        <f t="shared" si="4"/>
        <v>2450</v>
      </c>
    </row>
    <row r="113" spans="2:8" ht="13.5" thickBot="1" x14ac:dyDescent="0.25">
      <c r="C113" s="110">
        <v>2450</v>
      </c>
      <c r="D113" s="40" t="s">
        <v>102</v>
      </c>
      <c r="E113" s="111"/>
      <c r="F113" s="43">
        <v>40512</v>
      </c>
      <c r="G113" s="2">
        <f>SUM($C$102:C113)</f>
        <v>29400</v>
      </c>
      <c r="H113" s="66">
        <f t="shared" si="4"/>
        <v>0</v>
      </c>
    </row>
    <row r="114" spans="2:8" x14ac:dyDescent="0.2">
      <c r="C114">
        <f>SUM(C102:C113)</f>
        <v>29400</v>
      </c>
      <c r="D114"/>
      <c r="E114"/>
      <c r="F114" s="33"/>
    </row>
    <row r="115" spans="2:8" x14ac:dyDescent="0.2">
      <c r="C115" s="7"/>
      <c r="D115" s="28" t="s">
        <v>103</v>
      </c>
      <c r="F115" s="31" t="s">
        <v>104</v>
      </c>
    </row>
    <row r="116" spans="2:8" ht="13.5" thickBot="1" x14ac:dyDescent="0.25">
      <c r="B116" s="9" t="s">
        <v>105</v>
      </c>
      <c r="C116" s="9">
        <f>C114*260</f>
        <v>7644000</v>
      </c>
      <c r="D116" s="28">
        <f>D77+D78+(-D80)</f>
        <v>7644000</v>
      </c>
      <c r="F116" s="5">
        <f>D96*260</f>
        <v>7644000</v>
      </c>
    </row>
    <row r="117" spans="2:8" ht="13.5" thickBot="1" x14ac:dyDescent="0.25">
      <c r="B117" s="9" t="s">
        <v>106</v>
      </c>
      <c r="C117" s="44">
        <v>0</v>
      </c>
      <c r="D117" s="45" t="s">
        <v>107</v>
      </c>
      <c r="E117" s="45"/>
      <c r="F117" s="46">
        <v>40816</v>
      </c>
    </row>
    <row r="122" spans="2:8" x14ac:dyDescent="0.2">
      <c r="D122" s="28" t="s">
        <v>8</v>
      </c>
    </row>
  </sheetData>
  <printOptions gridLines="1"/>
  <pageMargins left="0.25" right="0.25" top="0.75" bottom="0.75" header="0.3" footer="0.3"/>
  <pageSetup paperSize="9" fitToWidth="0" orientation="portrait" r:id="rId1"/>
  <headerFooter alignWithMargins="0">
    <oddHeader>&amp;L&amp;"MS Sans SerifVFet"&amp;12Samfällighetsföreningen
Citronfjärilen&amp;C&amp;D</oddHeader>
    <oddFooter>&amp;L&amp;A&amp;C&amp;F Sida &amp;P&amp;</oddFooter>
  </headerFooter>
  <ignoredErrors>
    <ignoredError sqref="G103:G1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3"/>
  <sheetViews>
    <sheetView workbookViewId="0">
      <selection activeCell="B11" sqref="B11"/>
    </sheetView>
  </sheetViews>
  <sheetFormatPr defaultRowHeight="12.75" x14ac:dyDescent="0.2"/>
  <cols>
    <col min="2" max="2" width="60.42578125" bestFit="1" customWidth="1"/>
  </cols>
  <sheetData>
    <row r="4" spans="2:7" x14ac:dyDescent="0.2">
      <c r="B4" s="26">
        <v>5010</v>
      </c>
      <c r="C4" s="26" t="s">
        <v>108</v>
      </c>
    </row>
    <row r="5" spans="2:7" x14ac:dyDescent="0.2">
      <c r="B5" t="s">
        <v>109</v>
      </c>
    </row>
    <row r="6" spans="2:7" x14ac:dyDescent="0.2">
      <c r="B6" t="s">
        <v>110</v>
      </c>
    </row>
    <row r="7" spans="2:7" x14ac:dyDescent="0.2">
      <c r="B7" s="57" t="s">
        <v>111</v>
      </c>
      <c r="G7" s="32"/>
    </row>
    <row r="8" spans="2:7" x14ac:dyDescent="0.2">
      <c r="B8" s="57" t="s">
        <v>112</v>
      </c>
      <c r="G8" s="32"/>
    </row>
    <row r="9" spans="2:7" ht="15" x14ac:dyDescent="0.25">
      <c r="B9" s="58" t="s">
        <v>113</v>
      </c>
    </row>
    <row r="10" spans="2:7" x14ac:dyDescent="0.2">
      <c r="B10" t="s">
        <v>114</v>
      </c>
      <c r="C10">
        <v>145000</v>
      </c>
    </row>
    <row r="11" spans="2:7" x14ac:dyDescent="0.2">
      <c r="B11" t="s">
        <v>115</v>
      </c>
      <c r="C11">
        <v>2.7</v>
      </c>
      <c r="E11" s="1"/>
    </row>
    <row r="13" spans="2:7" x14ac:dyDescent="0.2">
      <c r="B13" t="s">
        <v>116</v>
      </c>
      <c r="C13">
        <f>C10*(C11+100)/100</f>
        <v>148915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E429-A5AA-4411-BA6B-146A7EC81B63}">
  <dimension ref="B2:O130"/>
  <sheetViews>
    <sheetView workbookViewId="0">
      <selection activeCell="F11" sqref="F11"/>
    </sheetView>
  </sheetViews>
  <sheetFormatPr defaultRowHeight="12.75" x14ac:dyDescent="0.2"/>
  <cols>
    <col min="1" max="1" width="0.140625" customWidth="1"/>
    <col min="2" max="2" width="15.5703125" customWidth="1"/>
    <col min="3" max="3" width="13.5703125" customWidth="1"/>
    <col min="4" max="4" width="11.85546875" customWidth="1"/>
    <col min="5" max="5" width="12.140625" customWidth="1"/>
    <col min="6" max="6" width="12.28515625" bestFit="1" customWidth="1"/>
    <col min="7" max="7" width="14.5703125" bestFit="1" customWidth="1"/>
    <col min="8" max="8" width="12.28515625" bestFit="1" customWidth="1"/>
    <col min="9" max="9" width="13.5703125" bestFit="1" customWidth="1"/>
    <col min="10" max="10" width="12" bestFit="1" customWidth="1"/>
  </cols>
  <sheetData>
    <row r="2" spans="2:14" ht="15.75" x14ac:dyDescent="0.25">
      <c r="B2" s="78" t="s">
        <v>117</v>
      </c>
      <c r="C2" s="79"/>
      <c r="D2" s="79"/>
      <c r="E2" s="79"/>
      <c r="F2" s="79"/>
    </row>
    <row r="3" spans="2:14" x14ac:dyDescent="0.2">
      <c r="G3" s="80"/>
      <c r="H3" t="s">
        <v>118</v>
      </c>
    </row>
    <row r="4" spans="2:14" x14ac:dyDescent="0.2">
      <c r="B4" s="81">
        <v>4010</v>
      </c>
    </row>
    <row r="5" spans="2:14" x14ac:dyDescent="0.2">
      <c r="B5" t="s">
        <v>119</v>
      </c>
      <c r="C5" s="83">
        <v>55</v>
      </c>
      <c r="D5" s="83">
        <v>56</v>
      </c>
      <c r="E5" s="83">
        <v>57</v>
      </c>
      <c r="G5" s="82"/>
    </row>
    <row r="6" spans="2:14" x14ac:dyDescent="0.2">
      <c r="B6" t="s">
        <v>120</v>
      </c>
      <c r="C6">
        <v>23800</v>
      </c>
      <c r="D6">
        <v>11800</v>
      </c>
      <c r="E6">
        <v>11800</v>
      </c>
      <c r="G6" s="82"/>
    </row>
    <row r="8" spans="2:14" x14ac:dyDescent="0.2">
      <c r="B8" t="s">
        <v>121</v>
      </c>
    </row>
    <row r="9" spans="2:14" x14ac:dyDescent="0.2">
      <c r="B9" t="s">
        <v>122</v>
      </c>
      <c r="C9">
        <v>402</v>
      </c>
      <c r="D9">
        <v>285</v>
      </c>
      <c r="E9">
        <v>382</v>
      </c>
    </row>
    <row r="10" spans="2:14" x14ac:dyDescent="0.2">
      <c r="B10" t="s">
        <v>123</v>
      </c>
      <c r="C10">
        <v>625</v>
      </c>
      <c r="D10">
        <v>665</v>
      </c>
      <c r="E10">
        <v>665</v>
      </c>
      <c r="F10" s="84"/>
    </row>
    <row r="11" spans="2:14" ht="13.5" thickBot="1" x14ac:dyDescent="0.25">
      <c r="C11">
        <f>C10*C9</f>
        <v>251250</v>
      </c>
      <c r="D11">
        <f t="shared" ref="D11:E11" si="0">D10*D9</f>
        <v>189525</v>
      </c>
      <c r="E11">
        <f t="shared" si="0"/>
        <v>254030</v>
      </c>
    </row>
    <row r="12" spans="2:14" ht="13.5" thickBot="1" x14ac:dyDescent="0.25">
      <c r="B12" s="85" t="s">
        <v>124</v>
      </c>
      <c r="C12" s="86"/>
      <c r="D12" s="87">
        <f>((C6+D6+E6)+(C10*C9)+(D10*D9)+(E10*E9))*1.25</f>
        <v>927756.25</v>
      </c>
    </row>
    <row r="14" spans="2:14" x14ac:dyDescent="0.2">
      <c r="B14" s="75">
        <v>4011</v>
      </c>
    </row>
    <row r="15" spans="2:14" x14ac:dyDescent="0.2">
      <c r="B15" t="s">
        <v>125</v>
      </c>
      <c r="F15">
        <f>SUM(C15:E15)</f>
        <v>0</v>
      </c>
      <c r="I15" s="88"/>
      <c r="J15" s="88"/>
      <c r="K15" s="88"/>
      <c r="L15" s="88"/>
      <c r="M15" s="88"/>
      <c r="N15" s="88"/>
    </row>
    <row r="16" spans="2:14" x14ac:dyDescent="0.2">
      <c r="B16" t="s">
        <v>126</v>
      </c>
      <c r="C16">
        <v>1842</v>
      </c>
      <c r="D16">
        <v>1197</v>
      </c>
      <c r="E16">
        <v>1769</v>
      </c>
      <c r="F16">
        <f>SUM(C16:E16)</f>
        <v>4808</v>
      </c>
      <c r="H16" s="25"/>
      <c r="I16" s="89"/>
      <c r="J16" s="89"/>
      <c r="K16" s="89"/>
      <c r="L16" s="89"/>
      <c r="M16" s="89"/>
      <c r="N16" s="89"/>
    </row>
    <row r="17" spans="2:14" x14ac:dyDescent="0.2">
      <c r="B17" t="s">
        <v>127</v>
      </c>
      <c r="C17">
        <v>520</v>
      </c>
      <c r="D17">
        <v>520</v>
      </c>
      <c r="E17">
        <v>520</v>
      </c>
      <c r="F17" s="84"/>
      <c r="H17" s="90"/>
      <c r="I17" s="1"/>
      <c r="J17" s="1"/>
      <c r="K17" s="1"/>
      <c r="L17" s="1"/>
      <c r="M17" s="1"/>
      <c r="N17" s="1"/>
    </row>
    <row r="18" spans="2:14" x14ac:dyDescent="0.2">
      <c r="B18" s="2" t="s">
        <v>128</v>
      </c>
      <c r="H18" s="90"/>
      <c r="I18" s="91"/>
      <c r="J18" s="91"/>
      <c r="K18" s="91"/>
      <c r="L18" s="91"/>
      <c r="M18" s="91"/>
      <c r="N18" s="91"/>
    </row>
    <row r="19" spans="2:14" ht="13.5" thickBot="1" x14ac:dyDescent="0.25">
      <c r="I19" s="92"/>
      <c r="J19" s="92"/>
    </row>
    <row r="20" spans="2:14" ht="13.5" thickBot="1" x14ac:dyDescent="0.25">
      <c r="B20" s="85" t="s">
        <v>129</v>
      </c>
      <c r="C20" s="86"/>
      <c r="D20" s="87">
        <f>1.25*(((C16*C17)+(D16*D17)+(E16*E17))-100000)</f>
        <v>3000200</v>
      </c>
    </row>
    <row r="21" spans="2:14" x14ac:dyDescent="0.2">
      <c r="K21" s="92"/>
    </row>
    <row r="22" spans="2:14" x14ac:dyDescent="0.2">
      <c r="B22" s="75">
        <v>4020</v>
      </c>
      <c r="C22" s="114">
        <f>C25*$C$28+C24</f>
        <v>545024.82000000007</v>
      </c>
      <c r="D22" s="114">
        <f>D25*$C$28+D24</f>
        <v>166089</v>
      </c>
      <c r="E22" s="114">
        <f t="shared" ref="E22:G22" si="1">E25*$C$28+E24</f>
        <v>152025.36000000002</v>
      </c>
      <c r="F22" s="114">
        <f t="shared" si="1"/>
        <v>448348.08</v>
      </c>
      <c r="G22" s="114">
        <f t="shared" si="1"/>
        <v>48129.86</v>
      </c>
      <c r="H22" s="114">
        <f>H25*$C$28+H24</f>
        <v>98459.86</v>
      </c>
      <c r="I22" s="114">
        <f>SUM(C22:H22)</f>
        <v>1458076.9800000002</v>
      </c>
    </row>
    <row r="23" spans="2:14" x14ac:dyDescent="0.2">
      <c r="B23" s="88" t="s">
        <v>130</v>
      </c>
      <c r="C23" s="82">
        <v>705</v>
      </c>
      <c r="D23" s="82">
        <v>706</v>
      </c>
      <c r="E23" s="82">
        <v>707</v>
      </c>
      <c r="F23" s="82">
        <v>779</v>
      </c>
      <c r="G23" s="82">
        <v>780</v>
      </c>
      <c r="H23" s="82">
        <v>781</v>
      </c>
    </row>
    <row r="24" spans="2:14" x14ac:dyDescent="0.2">
      <c r="B24" t="s">
        <v>131</v>
      </c>
      <c r="C24">
        <v>398507</v>
      </c>
      <c r="D24">
        <v>0</v>
      </c>
      <c r="E24">
        <v>0</v>
      </c>
      <c r="F24">
        <v>398507</v>
      </c>
      <c r="G24">
        <v>0</v>
      </c>
      <c r="H24">
        <v>0</v>
      </c>
      <c r="I24" s="90"/>
    </row>
    <row r="25" spans="2:14" x14ac:dyDescent="0.2">
      <c r="B25" t="s">
        <v>132</v>
      </c>
      <c r="C25">
        <v>10189</v>
      </c>
      <c r="D25">
        <v>11550</v>
      </c>
      <c r="E25">
        <v>10572</v>
      </c>
      <c r="F25">
        <v>3466</v>
      </c>
      <c r="G25">
        <v>3347</v>
      </c>
      <c r="H25">
        <v>6847</v>
      </c>
      <c r="I25" s="1"/>
      <c r="J25" s="92"/>
    </row>
    <row r="26" spans="2:14" x14ac:dyDescent="0.2">
      <c r="B26" t="s">
        <v>133</v>
      </c>
      <c r="C26">
        <f>L26*J26</f>
        <v>57720</v>
      </c>
      <c r="I26" s="1" t="s">
        <v>134</v>
      </c>
      <c r="J26">
        <v>39000</v>
      </c>
      <c r="K26" t="s">
        <v>135</v>
      </c>
      <c r="L26" s="91">
        <v>1.48</v>
      </c>
    </row>
    <row r="27" spans="2:14" x14ac:dyDescent="0.2">
      <c r="B27" s="93" t="s">
        <v>136</v>
      </c>
      <c r="C27" s="91"/>
      <c r="D27" s="91"/>
      <c r="E27" s="91"/>
      <c r="F27" s="91"/>
      <c r="G27" s="91"/>
      <c r="H27" s="91"/>
      <c r="I27" s="90"/>
    </row>
    <row r="28" spans="2:14" x14ac:dyDescent="0.2">
      <c r="B28" t="s">
        <v>137</v>
      </c>
      <c r="C28" s="90">
        <f>D28+E28</f>
        <v>14.38</v>
      </c>
      <c r="D28">
        <v>7.48</v>
      </c>
      <c r="E28">
        <v>6.9</v>
      </c>
    </row>
    <row r="29" spans="2:14" ht="13.5" thickBot="1" x14ac:dyDescent="0.25">
      <c r="E29" s="1"/>
      <c r="F29" s="90"/>
      <c r="G29" s="93" t="s">
        <v>136</v>
      </c>
      <c r="H29" s="91">
        <f>SUM(C27:H27)</f>
        <v>0</v>
      </c>
      <c r="J29" t="s">
        <v>133</v>
      </c>
      <c r="K29" s="25">
        <f>C26*1.25</f>
        <v>72150</v>
      </c>
    </row>
    <row r="30" spans="2:14" x14ac:dyDescent="0.2">
      <c r="B30" s="115" t="s">
        <v>138</v>
      </c>
      <c r="C30" s="116"/>
      <c r="D30" s="117">
        <f>(I22+C26)*1.25</f>
        <v>1894746.2250000003</v>
      </c>
      <c r="F30" s="90"/>
      <c r="J30" t="s">
        <v>188</v>
      </c>
      <c r="K30" s="25">
        <f>SUM(C24:H24)*1.25</f>
        <v>996267.5</v>
      </c>
    </row>
    <row r="31" spans="2:14" x14ac:dyDescent="0.2">
      <c r="B31" s="118" t="s">
        <v>189</v>
      </c>
      <c r="C31" s="119"/>
      <c r="D31" s="120">
        <f>SUM(C25:H25)*C28*1.25</f>
        <v>826328.72499999998</v>
      </c>
      <c r="E31" s="124" t="s">
        <v>191</v>
      </c>
      <c r="F31" s="90" t="s">
        <v>192</v>
      </c>
      <c r="G31" t="s">
        <v>196</v>
      </c>
      <c r="H31" t="s">
        <v>193</v>
      </c>
    </row>
    <row r="32" spans="2:14" ht="13.5" thickBot="1" x14ac:dyDescent="0.25">
      <c r="B32" s="121" t="s">
        <v>190</v>
      </c>
      <c r="C32" s="122"/>
      <c r="D32" s="123">
        <f>SUM(K29:K30)</f>
        <v>1068417.5</v>
      </c>
      <c r="E32" s="125">
        <f>D31+D32</f>
        <v>1894746.2250000001</v>
      </c>
      <c r="F32" s="25">
        <f>SUM(C25:H25)</f>
        <v>45971</v>
      </c>
      <c r="G32" s="25">
        <f>F32*28%</f>
        <v>12871.880000000001</v>
      </c>
      <c r="H32" s="25">
        <f>F32-G32</f>
        <v>33099.119999999995</v>
      </c>
    </row>
    <row r="33" spans="2:8" x14ac:dyDescent="0.2">
      <c r="F33" t="s">
        <v>194</v>
      </c>
      <c r="G33">
        <v>68.290000000000006</v>
      </c>
      <c r="H33">
        <v>17.28</v>
      </c>
    </row>
    <row r="34" spans="2:8" x14ac:dyDescent="0.2">
      <c r="F34" t="s">
        <v>195</v>
      </c>
      <c r="G34" s="25">
        <f>G33*G32</f>
        <v>879020.68520000018</v>
      </c>
      <c r="H34" s="25">
        <f>H33*H32</f>
        <v>571952.79359999998</v>
      </c>
    </row>
    <row r="36" spans="2:8" ht="15.75" x14ac:dyDescent="0.25">
      <c r="B36" s="94">
        <v>4050</v>
      </c>
    </row>
    <row r="37" spans="2:8" ht="15.75" x14ac:dyDescent="0.25">
      <c r="B37" s="94" t="s">
        <v>139</v>
      </c>
    </row>
    <row r="38" spans="2:8" x14ac:dyDescent="0.2">
      <c r="C38" s="82" t="s">
        <v>140</v>
      </c>
      <c r="D38" s="82" t="s">
        <v>141</v>
      </c>
      <c r="E38" s="82"/>
    </row>
    <row r="39" spans="2:8" x14ac:dyDescent="0.2">
      <c r="C39" s="82">
        <v>292</v>
      </c>
      <c r="D39" s="82">
        <v>12</v>
      </c>
      <c r="E39" s="82" t="s">
        <v>142</v>
      </c>
      <c r="G39" s="82" t="s">
        <v>143</v>
      </c>
    </row>
    <row r="40" spans="2:8" x14ac:dyDescent="0.2">
      <c r="C40" t="s">
        <v>144</v>
      </c>
      <c r="D40" s="90">
        <v>83.5</v>
      </c>
      <c r="E40" t="s">
        <v>145</v>
      </c>
      <c r="G40" s="76">
        <f>D40*$C$39*$D$39</f>
        <v>292584</v>
      </c>
    </row>
    <row r="41" spans="2:8" x14ac:dyDescent="0.2">
      <c r="C41" t="s">
        <v>146</v>
      </c>
      <c r="D41" s="90">
        <v>0</v>
      </c>
      <c r="E41" t="s">
        <v>145</v>
      </c>
      <c r="G41" s="76">
        <f>D41*$C$39*$D$39</f>
        <v>0</v>
      </c>
    </row>
    <row r="42" spans="2:8" x14ac:dyDescent="0.2">
      <c r="C42" t="s">
        <v>147</v>
      </c>
    </row>
    <row r="43" spans="2:8" x14ac:dyDescent="0.2">
      <c r="C43" t="s">
        <v>148</v>
      </c>
      <c r="D43" s="90">
        <v>0</v>
      </c>
      <c r="E43" t="s">
        <v>149</v>
      </c>
      <c r="G43" s="76">
        <f>D43*12</f>
        <v>0</v>
      </c>
    </row>
    <row r="44" spans="2:8" x14ac:dyDescent="0.2">
      <c r="C44" t="s">
        <v>150</v>
      </c>
      <c r="D44" s="90">
        <v>0</v>
      </c>
      <c r="E44" t="s">
        <v>151</v>
      </c>
      <c r="G44" s="76">
        <f>D44</f>
        <v>0</v>
      </c>
    </row>
    <row r="45" spans="2:8" x14ac:dyDescent="0.2">
      <c r="C45" t="s">
        <v>152</v>
      </c>
      <c r="D45" s="90">
        <v>0</v>
      </c>
      <c r="E45" t="s">
        <v>151</v>
      </c>
      <c r="G45" s="76">
        <f>D45</f>
        <v>0</v>
      </c>
    </row>
    <row r="46" spans="2:8" x14ac:dyDescent="0.2">
      <c r="C46" t="s">
        <v>153</v>
      </c>
      <c r="D46" s="90">
        <v>0</v>
      </c>
      <c r="E46" t="s">
        <v>151</v>
      </c>
      <c r="G46" s="76">
        <f>D46</f>
        <v>0</v>
      </c>
    </row>
    <row r="47" spans="2:8" x14ac:dyDescent="0.2">
      <c r="C47" t="s">
        <v>154</v>
      </c>
      <c r="D47" s="90">
        <v>0</v>
      </c>
      <c r="E47" t="s">
        <v>151</v>
      </c>
      <c r="G47" s="76">
        <f>D47</f>
        <v>0</v>
      </c>
    </row>
    <row r="48" spans="2:8" x14ac:dyDescent="0.2">
      <c r="C48" t="s">
        <v>155</v>
      </c>
      <c r="D48" s="90">
        <v>0</v>
      </c>
      <c r="E48" t="s">
        <v>151</v>
      </c>
      <c r="G48" s="76">
        <f>D48</f>
        <v>0</v>
      </c>
    </row>
    <row r="49" spans="4:9" x14ac:dyDescent="0.2">
      <c r="D49" s="90"/>
      <c r="G49" s="76"/>
    </row>
    <row r="50" spans="4:9" ht="15.75" x14ac:dyDescent="0.25">
      <c r="E50" s="94" t="s">
        <v>156</v>
      </c>
      <c r="G50" s="95">
        <f>1.25*(SUM(G40:G48))</f>
        <v>365730</v>
      </c>
      <c r="H50">
        <f>G50/4</f>
        <v>91432.5</v>
      </c>
      <c r="I50" t="s">
        <v>157</v>
      </c>
    </row>
    <row r="73" spans="2:9" ht="15.75" x14ac:dyDescent="0.25">
      <c r="B73" s="96"/>
      <c r="D73" s="25"/>
    </row>
    <row r="74" spans="2:9" x14ac:dyDescent="0.2">
      <c r="D74" s="25"/>
    </row>
    <row r="75" spans="2:9" x14ac:dyDescent="0.2">
      <c r="B75" s="97" t="s">
        <v>158</v>
      </c>
      <c r="D75" s="25"/>
    </row>
    <row r="76" spans="2:9" x14ac:dyDescent="0.2">
      <c r="D76" s="25" t="s">
        <v>159</v>
      </c>
    </row>
    <row r="77" spans="2:9" x14ac:dyDescent="0.2">
      <c r="B77" s="98" t="s">
        <v>160</v>
      </c>
      <c r="C77" s="98"/>
      <c r="D77" s="99">
        <v>38991</v>
      </c>
      <c r="E77" s="99">
        <v>39362</v>
      </c>
      <c r="F77" s="99">
        <v>39733</v>
      </c>
      <c r="G77" s="99">
        <v>40104</v>
      </c>
      <c r="H77" s="99">
        <v>40475</v>
      </c>
      <c r="I77" s="99">
        <v>40846</v>
      </c>
    </row>
    <row r="78" spans="2:9" x14ac:dyDescent="0.2">
      <c r="B78" s="98" t="s">
        <v>161</v>
      </c>
      <c r="C78" s="98"/>
      <c r="D78" s="100">
        <v>286.07</v>
      </c>
      <c r="E78" s="100">
        <v>293.85000000000002</v>
      </c>
      <c r="F78" s="100">
        <v>305.56</v>
      </c>
      <c r="G78" s="100">
        <v>301.11</v>
      </c>
      <c r="H78" s="100"/>
    </row>
    <row r="79" spans="2:9" x14ac:dyDescent="0.2">
      <c r="B79" t="s">
        <v>162</v>
      </c>
      <c r="D79" s="25">
        <v>3000000</v>
      </c>
      <c r="E79" s="25">
        <f>$D$79/$D$78*E78</f>
        <v>3081588.4224140951</v>
      </c>
      <c r="F79" s="25">
        <f>$D$79/$D$78*F78</f>
        <v>3204390.5337854377</v>
      </c>
      <c r="G79" s="25">
        <f>$D$79/$D$78*G78</f>
        <v>3157723.6340755764</v>
      </c>
      <c r="H79" s="76"/>
    </row>
    <row r="80" spans="2:9" x14ac:dyDescent="0.2">
      <c r="B80" t="s">
        <v>163</v>
      </c>
      <c r="D80" s="25">
        <v>3000000</v>
      </c>
      <c r="E80" s="25">
        <v>3000000</v>
      </c>
      <c r="F80" s="25">
        <v>3200000</v>
      </c>
      <c r="G80" s="25">
        <v>3200000</v>
      </c>
    </row>
    <row r="81" spans="2:12" x14ac:dyDescent="0.2">
      <c r="D81" s="25"/>
    </row>
    <row r="82" spans="2:12" x14ac:dyDescent="0.2">
      <c r="B82" t="s">
        <v>164</v>
      </c>
      <c r="D82" s="25">
        <v>2262000</v>
      </c>
      <c r="E82">
        <v>2262000</v>
      </c>
      <c r="F82">
        <v>2336000</v>
      </c>
      <c r="G82">
        <v>2267000</v>
      </c>
      <c r="J82" s="129" t="s">
        <v>165</v>
      </c>
      <c r="K82" s="129"/>
      <c r="L82" s="129"/>
    </row>
    <row r="83" spans="2:12" x14ac:dyDescent="0.2">
      <c r="D83" s="25"/>
      <c r="J83" s="129" t="s">
        <v>166</v>
      </c>
      <c r="K83" s="129"/>
      <c r="L83" s="101" t="s">
        <v>167</v>
      </c>
    </row>
    <row r="84" spans="2:12" x14ac:dyDescent="0.2">
      <c r="D84" s="25"/>
      <c r="J84" s="102">
        <v>500000</v>
      </c>
      <c r="K84" s="102">
        <v>1000000</v>
      </c>
    </row>
    <row r="85" spans="2:12" x14ac:dyDescent="0.2">
      <c r="B85" s="101" t="s">
        <v>168</v>
      </c>
      <c r="C85" s="101"/>
      <c r="D85" s="102">
        <f>D80-D82</f>
        <v>738000</v>
      </c>
      <c r="E85" s="102">
        <f>E80-E82</f>
        <v>738000</v>
      </c>
      <c r="F85" s="102">
        <f>F80-F82</f>
        <v>864000</v>
      </c>
      <c r="G85" s="102">
        <f>G80-G82</f>
        <v>933000</v>
      </c>
      <c r="J85" s="103">
        <v>0.05</v>
      </c>
      <c r="K85" s="103">
        <v>0.1</v>
      </c>
      <c r="L85" s="103">
        <v>0.15</v>
      </c>
    </row>
    <row r="86" spans="2:12" x14ac:dyDescent="0.2">
      <c r="D86" s="25"/>
      <c r="E86" s="25"/>
      <c r="F86" s="25"/>
      <c r="G86" s="25"/>
    </row>
    <row r="87" spans="2:12" x14ac:dyDescent="0.2">
      <c r="B87" t="s">
        <v>169</v>
      </c>
      <c r="D87" s="25">
        <f>IF(D85&lt;$J$84,$J$85*D85,IF(D85&lt;$K$84,D85*$K$85,D85*$L$85))</f>
        <v>73800</v>
      </c>
      <c r="E87" s="25">
        <f>IF(E85&lt;$J$84,$J$85*E85,IF(E85&lt;$K$84,E85*$K$85,E85*$L$85))</f>
        <v>73800</v>
      </c>
      <c r="F87" s="25">
        <f>IF(F85&lt;$J$84,$J$85*F85,IF(F85&lt;$K$84,F85*$K$85,F85*$L$85))</f>
        <v>86400</v>
      </c>
      <c r="G87" s="25">
        <f>IF(G85&lt;$J$84,$J$85*G85,IF(G85&lt;$K$84,G85*$K$85,G85*$L$85))</f>
        <v>93300</v>
      </c>
    </row>
    <row r="88" spans="2:12" x14ac:dyDescent="0.2">
      <c r="D88" s="25"/>
      <c r="E88" s="25"/>
      <c r="F88" s="25"/>
      <c r="G88" s="25"/>
    </row>
    <row r="89" spans="2:12" ht="15.75" x14ac:dyDescent="0.25">
      <c r="B89" s="94" t="s">
        <v>170</v>
      </c>
      <c r="C89" s="94"/>
      <c r="D89" s="104">
        <v>74000</v>
      </c>
      <c r="E89" s="104">
        <v>74000</v>
      </c>
      <c r="F89" s="104">
        <v>86000</v>
      </c>
      <c r="G89" s="104">
        <v>94000</v>
      </c>
      <c r="H89" s="94"/>
    </row>
    <row r="90" spans="2:12" x14ac:dyDescent="0.2">
      <c r="D90" s="25"/>
      <c r="E90" s="25"/>
      <c r="F90" s="25"/>
      <c r="G90" s="25"/>
    </row>
    <row r="91" spans="2:12" x14ac:dyDescent="0.2">
      <c r="B91" t="s">
        <v>171</v>
      </c>
      <c r="D91" s="25">
        <f>D82+D87</f>
        <v>2335800</v>
      </c>
      <c r="E91" s="25">
        <f>E82+E87</f>
        <v>2335800</v>
      </c>
      <c r="F91" s="25">
        <f>F82+F87</f>
        <v>2422400</v>
      </c>
      <c r="G91" s="25">
        <f>G82+G87</f>
        <v>2360300</v>
      </c>
    </row>
    <row r="92" spans="2:12" x14ac:dyDescent="0.2">
      <c r="B92" t="s">
        <v>172</v>
      </c>
      <c r="D92" s="25">
        <f>D82+D89</f>
        <v>2336000</v>
      </c>
      <c r="E92" s="25">
        <f>E82+E89</f>
        <v>2336000</v>
      </c>
      <c r="F92" s="25">
        <f>F82+F89</f>
        <v>2422000</v>
      </c>
      <c r="G92" s="25">
        <f>G82+G89</f>
        <v>2361000</v>
      </c>
    </row>
    <row r="98" spans="2:15" ht="12.75" customHeight="1" x14ac:dyDescent="0.2">
      <c r="B98" s="130" t="s">
        <v>173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</row>
    <row r="99" spans="2:15" ht="12.75" customHeight="1" x14ac:dyDescent="0.2">
      <c r="B99" s="130" t="s">
        <v>174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2:15" x14ac:dyDescent="0.2">
      <c r="B100" s="131" t="s">
        <v>175</v>
      </c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</row>
    <row r="101" spans="2:15" x14ac:dyDescent="0.2">
      <c r="B101" s="131" t="s">
        <v>176</v>
      </c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</row>
    <row r="102" spans="2:15" x14ac:dyDescent="0.2">
      <c r="B102" s="127"/>
      <c r="C102" s="127"/>
      <c r="D102" s="127"/>
      <c r="E102" s="127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</row>
    <row r="103" spans="2:15" x14ac:dyDescent="0.2">
      <c r="B103" s="128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</row>
    <row r="104" spans="2:15" x14ac:dyDescent="0.2">
      <c r="B104" s="128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</row>
    <row r="105" spans="2:15" x14ac:dyDescent="0.2">
      <c r="B105" s="128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</row>
    <row r="106" spans="2:15" x14ac:dyDescent="0.2">
      <c r="B106" s="112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</row>
    <row r="107" spans="2:15" x14ac:dyDescent="0.2">
      <c r="B107" s="112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</row>
    <row r="108" spans="2:15" x14ac:dyDescent="0.2">
      <c r="B108" s="112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</row>
    <row r="109" spans="2:15" x14ac:dyDescent="0.2">
      <c r="B109" s="112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</row>
    <row r="110" spans="2:15" x14ac:dyDescent="0.2">
      <c r="B110" s="112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  <row r="111" spans="2:15" x14ac:dyDescent="0.2">
      <c r="B111" s="112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</row>
    <row r="112" spans="2:15" x14ac:dyDescent="0.2">
      <c r="B112" s="112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2:15" x14ac:dyDescent="0.2">
      <c r="B113" s="112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</row>
    <row r="114" spans="2:15" x14ac:dyDescent="0.2">
      <c r="B114" s="112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</row>
    <row r="115" spans="2:15" x14ac:dyDescent="0.2">
      <c r="B115" s="112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</row>
    <row r="116" spans="2:15" x14ac:dyDescent="0.2">
      <c r="B116" s="112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</row>
    <row r="117" spans="2:15" x14ac:dyDescent="0.2">
      <c r="B117" s="112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</row>
    <row r="119" spans="2:15" x14ac:dyDescent="0.2">
      <c r="E119" t="s">
        <v>177</v>
      </c>
      <c r="G119" s="105">
        <v>127000</v>
      </c>
    </row>
    <row r="120" spans="2:15" x14ac:dyDescent="0.2">
      <c r="E120" t="s">
        <v>178</v>
      </c>
      <c r="F120" s="103">
        <v>0.03</v>
      </c>
      <c r="G120">
        <f>G119*F120+G119</f>
        <v>130810</v>
      </c>
    </row>
    <row r="121" spans="2:15" x14ac:dyDescent="0.2">
      <c r="B121" s="26">
        <v>5010</v>
      </c>
      <c r="C121" s="26" t="s">
        <v>108</v>
      </c>
    </row>
    <row r="124" spans="2:15" x14ac:dyDescent="0.2">
      <c r="B124" t="s">
        <v>110</v>
      </c>
    </row>
    <row r="125" spans="2:15" x14ac:dyDescent="0.2">
      <c r="B125" t="s">
        <v>179</v>
      </c>
      <c r="G125" s="32" t="s">
        <v>180</v>
      </c>
    </row>
    <row r="126" spans="2:15" x14ac:dyDescent="0.2">
      <c r="B126" t="s">
        <v>181</v>
      </c>
      <c r="G126" s="32" t="s">
        <v>182</v>
      </c>
    </row>
    <row r="127" spans="2:15" x14ac:dyDescent="0.2">
      <c r="G127" t="s">
        <v>183</v>
      </c>
    </row>
    <row r="128" spans="2:15" x14ac:dyDescent="0.2">
      <c r="B128" t="s">
        <v>114</v>
      </c>
      <c r="E128">
        <v>145000</v>
      </c>
      <c r="G128" s="107" t="s">
        <v>184</v>
      </c>
    </row>
    <row r="129" spans="2:7" x14ac:dyDescent="0.2">
      <c r="B129" t="s">
        <v>185</v>
      </c>
      <c r="E129" s="1">
        <f>E128*G130%+E128</f>
        <v>148045</v>
      </c>
      <c r="G129" t="s">
        <v>186</v>
      </c>
    </row>
    <row r="130" spans="2:7" x14ac:dyDescent="0.2">
      <c r="G130">
        <v>2.1</v>
      </c>
    </row>
  </sheetData>
  <mergeCells count="8">
    <mergeCell ref="B102:E102"/>
    <mergeCell ref="B103:B105"/>
    <mergeCell ref="J82:L82"/>
    <mergeCell ref="J83:K83"/>
    <mergeCell ref="B98:O98"/>
    <mergeCell ref="B99:O99"/>
    <mergeCell ref="B100:O100"/>
    <mergeCell ref="B101:O101"/>
  </mergeCells>
  <pageMargins left="0.51" right="0.19" top="0.61" bottom="0.7" header="0.38" footer="0.39"/>
  <pageSetup paperSize="9" orientation="landscape" verticalDpi="300" r:id="rId1"/>
  <headerFooter alignWithMargins="0">
    <oddHeader>&amp;A</oddHeader>
    <oddFooter>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Under arbete</vt:lpstr>
      <vt:lpstr>Beräkning</vt:lpstr>
      <vt:lpstr>Beräkningar</vt:lpstr>
      <vt:lpstr>'Under arbete'!Utskriftsområde</vt:lpstr>
    </vt:vector>
  </TitlesOfParts>
  <Manager/>
  <Company>SFF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sff</dc:creator>
  <cp:keywords/>
  <dc:description/>
  <cp:lastModifiedBy>Tommy Barkman</cp:lastModifiedBy>
  <cp:revision/>
  <cp:lastPrinted>2020-04-01T15:28:45Z</cp:lastPrinted>
  <dcterms:created xsi:type="dcterms:W3CDTF">2020-01-27T19:36:58Z</dcterms:created>
  <dcterms:modified xsi:type="dcterms:W3CDTF">2020-04-12T13:04:17Z</dcterms:modified>
  <cp:category/>
  <cp:contentStatus/>
</cp:coreProperties>
</file>